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945" yWindow="570" windowWidth="21840" windowHeight="12855"/>
  </bookViews>
  <sheets>
    <sheet name="Bestellung" sheetId="4" r:id="rId1"/>
  </sheets>
  <definedNames>
    <definedName name="_xlnm._FilterDatabase" localSheetId="0" hidden="1">Bestellung!$G$152:$Q$154</definedName>
  </definedNames>
  <calcPr calcId="145621"/>
</workbook>
</file>

<file path=xl/calcChain.xml><?xml version="1.0" encoding="utf-8"?>
<calcChain xmlns="http://schemas.openxmlformats.org/spreadsheetml/2006/main">
  <c r="Z150" i="4" l="1"/>
  <c r="Z149" i="4"/>
  <c r="AC38" i="4"/>
  <c r="AF157" i="4" l="1"/>
  <c r="I95" i="4" l="1"/>
  <c r="I96" i="4"/>
  <c r="W96" i="4" s="1"/>
  <c r="I34" i="4"/>
  <c r="W34" i="4" s="1"/>
  <c r="I35" i="4"/>
  <c r="W35" i="4" s="1"/>
  <c r="I36" i="4"/>
  <c r="I38" i="4"/>
  <c r="AA124" i="4"/>
  <c r="Y124" i="4" s="1"/>
  <c r="AA125" i="4"/>
  <c r="AA126" i="4"/>
  <c r="AA130" i="4"/>
  <c r="AA129" i="4"/>
  <c r="AA128" i="4"/>
  <c r="E124" i="4"/>
  <c r="F110" i="4"/>
  <c r="G110" i="4"/>
  <c r="H110" i="4"/>
  <c r="F111" i="4"/>
  <c r="G111" i="4"/>
  <c r="H111" i="4"/>
  <c r="E111" i="4"/>
  <c r="E110" i="4"/>
  <c r="F78" i="4"/>
  <c r="AB93" i="4"/>
  <c r="AB92" i="4"/>
  <c r="F138" i="4"/>
  <c r="G138" i="4" s="1"/>
  <c r="H138" i="4" s="1"/>
  <c r="Z134" i="4"/>
  <c r="Y134" i="4" s="1"/>
  <c r="Z135" i="4"/>
  <c r="Y135" i="4"/>
  <c r="Z136" i="4"/>
  <c r="Z133" i="4"/>
  <c r="Z130" i="4"/>
  <c r="Z129" i="4"/>
  <c r="Z128" i="4"/>
  <c r="Z126" i="4"/>
  <c r="Z125" i="4"/>
  <c r="Y125" i="4" s="1"/>
  <c r="Z124" i="4"/>
  <c r="Z121" i="4"/>
  <c r="Z120" i="4"/>
  <c r="Z119" i="4"/>
  <c r="Z118" i="4"/>
  <c r="Y118" i="4" s="1"/>
  <c r="Z117" i="4"/>
  <c r="Y117" i="4" s="1"/>
  <c r="Z116" i="4"/>
  <c r="Z107" i="4"/>
  <c r="Y107" i="4"/>
  <c r="Z108" i="4"/>
  <c r="Z109" i="4"/>
  <c r="Z110" i="4"/>
  <c r="Z111" i="4"/>
  <c r="Z106" i="4"/>
  <c r="Y106" i="4"/>
  <c r="AE63" i="4"/>
  <c r="F89" i="4"/>
  <c r="G89" i="4"/>
  <c r="H89" i="4"/>
  <c r="H95" i="4" s="1"/>
  <c r="F79" i="4"/>
  <c r="F76" i="4"/>
  <c r="F75" i="4"/>
  <c r="F71" i="4"/>
  <c r="F63" i="4"/>
  <c r="G62" i="4"/>
  <c r="F30" i="4"/>
  <c r="Y126" i="4"/>
  <c r="AA127" i="4"/>
  <c r="Y128" i="4"/>
  <c r="H30" i="4"/>
  <c r="G30" i="4"/>
  <c r="E113" i="4"/>
  <c r="E106" i="4"/>
  <c r="E107" i="4" s="1"/>
  <c r="E108" i="4" s="1"/>
  <c r="F173" i="4"/>
  <c r="Y173" i="4"/>
  <c r="I173" i="4"/>
  <c r="F106" i="4"/>
  <c r="F107" i="4" s="1"/>
  <c r="F108" i="4" s="1"/>
  <c r="F55" i="4"/>
  <c r="G55" i="4" s="1"/>
  <c r="G106" i="4"/>
  <c r="G107" i="4" s="1"/>
  <c r="G108" i="4" s="1"/>
  <c r="A186" i="4"/>
  <c r="A185" i="4"/>
  <c r="A184" i="4"/>
  <c r="Y179" i="4"/>
  <c r="Y178" i="4"/>
  <c r="F178" i="4"/>
  <c r="Y177" i="4"/>
  <c r="I177" i="4"/>
  <c r="Y176" i="4"/>
  <c r="I176" i="4"/>
  <c r="X176" i="4" s="1"/>
  <c r="Y175" i="4"/>
  <c r="Y174" i="4"/>
  <c r="Y172" i="4"/>
  <c r="I172" i="4"/>
  <c r="X172" i="4" s="1"/>
  <c r="Z170" i="4"/>
  <c r="Y170" i="4" s="1"/>
  <c r="X170" i="4"/>
  <c r="W170" i="4"/>
  <c r="AA169" i="4"/>
  <c r="Z169" i="4"/>
  <c r="Y169" i="4" s="1"/>
  <c r="W169" i="4"/>
  <c r="I167" i="4"/>
  <c r="X167" i="4" s="1"/>
  <c r="I166" i="4"/>
  <c r="Y165" i="4"/>
  <c r="I165" i="4"/>
  <c r="I164" i="4"/>
  <c r="H164" i="4"/>
  <c r="G164" i="4"/>
  <c r="F164" i="4"/>
  <c r="E164" i="4"/>
  <c r="Y163" i="4"/>
  <c r="I163" i="4"/>
  <c r="X163" i="4"/>
  <c r="Y162" i="4"/>
  <c r="X162" i="4"/>
  <c r="W162" i="4"/>
  <c r="Y161" i="4"/>
  <c r="I161" i="4"/>
  <c r="Y159" i="4"/>
  <c r="F159" i="4"/>
  <c r="Y158" i="4"/>
  <c r="I158" i="4"/>
  <c r="Y156" i="4"/>
  <c r="F156" i="4"/>
  <c r="Y155" i="4"/>
  <c r="I155" i="4"/>
  <c r="Y153" i="4"/>
  <c r="F153" i="4"/>
  <c r="Y152" i="4"/>
  <c r="I152" i="4"/>
  <c r="Y150" i="4"/>
  <c r="I150" i="4"/>
  <c r="H150" i="4"/>
  <c r="G150" i="4"/>
  <c r="F150" i="4"/>
  <c r="Y149" i="4"/>
  <c r="I149" i="4"/>
  <c r="Y147" i="4"/>
  <c r="I138" i="4"/>
  <c r="I136" i="4"/>
  <c r="I135" i="4"/>
  <c r="H135" i="4"/>
  <c r="G135" i="4"/>
  <c r="F135" i="4"/>
  <c r="E135" i="4"/>
  <c r="I134" i="4"/>
  <c r="H134" i="4"/>
  <c r="H136" i="4" s="1"/>
  <c r="G134" i="4"/>
  <c r="G136" i="4"/>
  <c r="F134" i="4"/>
  <c r="F136" i="4" s="1"/>
  <c r="E134" i="4"/>
  <c r="E136" i="4"/>
  <c r="I133" i="4"/>
  <c r="I130" i="4"/>
  <c r="I129" i="4"/>
  <c r="H129" i="4"/>
  <c r="H130" i="4" s="1"/>
  <c r="G129" i="4"/>
  <c r="G130" i="4" s="1"/>
  <c r="F129" i="4"/>
  <c r="F130" i="4" s="1"/>
  <c r="E129" i="4"/>
  <c r="E130" i="4" s="1"/>
  <c r="I128" i="4"/>
  <c r="I126" i="4"/>
  <c r="I125" i="4"/>
  <c r="E125" i="4"/>
  <c r="I124" i="4"/>
  <c r="I121" i="4"/>
  <c r="Y120" i="4"/>
  <c r="I120" i="4"/>
  <c r="Y119" i="4"/>
  <c r="I119" i="4"/>
  <c r="E119" i="4"/>
  <c r="E120" i="4" s="1"/>
  <c r="E121" i="4" s="1"/>
  <c r="I118" i="4"/>
  <c r="G118" i="4"/>
  <c r="F118" i="4"/>
  <c r="E118" i="4"/>
  <c r="I117" i="4"/>
  <c r="G117" i="4"/>
  <c r="F117" i="4"/>
  <c r="E117" i="4"/>
  <c r="Y116" i="4"/>
  <c r="I116" i="4"/>
  <c r="G116" i="4"/>
  <c r="F116" i="4"/>
  <c r="E116" i="4"/>
  <c r="Z114" i="4"/>
  <c r="Y114" i="4" s="1"/>
  <c r="I114" i="4"/>
  <c r="Z113" i="4"/>
  <c r="Y113" i="4" s="1"/>
  <c r="I113" i="4"/>
  <c r="Y111" i="4"/>
  <c r="I111" i="4"/>
  <c r="I110" i="4"/>
  <c r="I109" i="4"/>
  <c r="I108" i="4"/>
  <c r="I107" i="4"/>
  <c r="I106" i="4"/>
  <c r="Z96" i="4"/>
  <c r="Y96" i="4" s="1"/>
  <c r="E96" i="4"/>
  <c r="Z95" i="4"/>
  <c r="Y95" i="4" s="1"/>
  <c r="G96" i="4"/>
  <c r="F96" i="4"/>
  <c r="Z93" i="4"/>
  <c r="Y93" i="4" s="1"/>
  <c r="I93" i="4"/>
  <c r="H93" i="4"/>
  <c r="G93" i="4"/>
  <c r="F93" i="4"/>
  <c r="E93" i="4"/>
  <c r="Z92" i="4"/>
  <c r="I92" i="4"/>
  <c r="AA90" i="4"/>
  <c r="Z90" i="4"/>
  <c r="I90" i="4"/>
  <c r="H90" i="4"/>
  <c r="G90" i="4"/>
  <c r="F90" i="4"/>
  <c r="E90" i="4"/>
  <c r="D90" i="4"/>
  <c r="AA89" i="4"/>
  <c r="Z89" i="4"/>
  <c r="I89" i="4"/>
  <c r="D89" i="4"/>
  <c r="Y86" i="4"/>
  <c r="Y84" i="4"/>
  <c r="I84" i="4"/>
  <c r="Y83" i="4"/>
  <c r="W83" i="4"/>
  <c r="I83" i="4"/>
  <c r="Y82" i="4"/>
  <c r="W82" i="4"/>
  <c r="I82" i="4"/>
  <c r="AB79" i="4"/>
  <c r="Y79" i="4" s="1"/>
  <c r="I79" i="4"/>
  <c r="AB78" i="4"/>
  <c r="Y78" i="4" s="1"/>
  <c r="I78" i="4"/>
  <c r="AB77" i="4"/>
  <c r="Y77" i="4" s="1"/>
  <c r="AA77" i="4"/>
  <c r="I77" i="4"/>
  <c r="AB76" i="4"/>
  <c r="AA76" i="4"/>
  <c r="I76" i="4"/>
  <c r="AB75" i="4"/>
  <c r="AA75" i="4"/>
  <c r="I75" i="4"/>
  <c r="AB74" i="4"/>
  <c r="AA74" i="4"/>
  <c r="Y74" i="4" s="1"/>
  <c r="I74" i="4"/>
  <c r="AA71" i="4"/>
  <c r="Y71" i="4"/>
  <c r="I71" i="4"/>
  <c r="AA70" i="4"/>
  <c r="Y70" i="4" s="1"/>
  <c r="I70" i="4"/>
  <c r="AB67" i="4"/>
  <c r="AA67" i="4"/>
  <c r="I67" i="4"/>
  <c r="E67" i="4"/>
  <c r="F67" i="4" s="1"/>
  <c r="G67" i="4" s="1"/>
  <c r="H67" i="4" s="1"/>
  <c r="AB65" i="4"/>
  <c r="AA65" i="4"/>
  <c r="Y65" i="4" s="1"/>
  <c r="I65" i="4"/>
  <c r="W65" i="4"/>
  <c r="E65" i="4"/>
  <c r="F65" i="4"/>
  <c r="G65" i="4"/>
  <c r="H65" i="4" s="1"/>
  <c r="AB63" i="4"/>
  <c r="AA63" i="4"/>
  <c r="Y63" i="4"/>
  <c r="I63" i="4"/>
  <c r="AE62" i="4"/>
  <c r="AB62" i="4"/>
  <c r="AA62" i="4"/>
  <c r="Y62" i="4" s="1"/>
  <c r="I62" i="4"/>
  <c r="AE61" i="4"/>
  <c r="AB61" i="4"/>
  <c r="AA61" i="4"/>
  <c r="Y61" i="4"/>
  <c r="I61" i="4"/>
  <c r="AE60" i="4"/>
  <c r="AE59" i="4"/>
  <c r="AE58" i="4"/>
  <c r="AE57" i="4"/>
  <c r="Y136" i="4"/>
  <c r="Y57" i="4"/>
  <c r="AE56" i="4"/>
  <c r="AB56" i="4"/>
  <c r="AA56" i="4"/>
  <c r="Z56" i="4"/>
  <c r="Y56" i="4"/>
  <c r="I56" i="4"/>
  <c r="W56" i="4" s="1"/>
  <c r="AE55" i="4"/>
  <c r="AB55" i="4"/>
  <c r="AA55" i="4"/>
  <c r="Z55" i="4"/>
  <c r="I55" i="4"/>
  <c r="AE54" i="4"/>
  <c r="AB54" i="4"/>
  <c r="AA54" i="4"/>
  <c r="Z54" i="4"/>
  <c r="I54" i="4"/>
  <c r="F56" i="4"/>
  <c r="E56" i="4"/>
  <c r="AE52" i="4"/>
  <c r="AB52" i="4"/>
  <c r="AA52" i="4"/>
  <c r="Z52" i="4"/>
  <c r="Y52" i="4" s="1"/>
  <c r="I52" i="4"/>
  <c r="W52" i="4" s="1"/>
  <c r="AE51" i="4"/>
  <c r="AB51" i="4"/>
  <c r="AA51" i="4"/>
  <c r="Z51" i="4"/>
  <c r="I51" i="4"/>
  <c r="W51" i="4"/>
  <c r="AE50" i="4"/>
  <c r="AB50" i="4"/>
  <c r="AA50" i="4"/>
  <c r="Z50" i="4"/>
  <c r="I50" i="4"/>
  <c r="H50" i="4"/>
  <c r="H51" i="4"/>
  <c r="H52" i="4" s="1"/>
  <c r="G50" i="4"/>
  <c r="G51" i="4" s="1"/>
  <c r="G52" i="4" s="1"/>
  <c r="F50" i="4"/>
  <c r="F51" i="4" s="1"/>
  <c r="F52" i="4" s="1"/>
  <c r="E50" i="4"/>
  <c r="E51" i="4"/>
  <c r="E52" i="4"/>
  <c r="AB48" i="4"/>
  <c r="AA48" i="4"/>
  <c r="Z48" i="4"/>
  <c r="I48" i="4"/>
  <c r="W48" i="4" s="1"/>
  <c r="AB47" i="4"/>
  <c r="AA47" i="4"/>
  <c r="Y47" i="4" s="1"/>
  <c r="Z47" i="4"/>
  <c r="I47" i="4"/>
  <c r="W47" i="4"/>
  <c r="H47" i="4"/>
  <c r="H48" i="4" s="1"/>
  <c r="G47" i="4"/>
  <c r="G48" i="4" s="1"/>
  <c r="F47" i="4"/>
  <c r="F48" i="4" s="1"/>
  <c r="E47" i="4"/>
  <c r="E48" i="4" s="1"/>
  <c r="AB46" i="4"/>
  <c r="AA46" i="4"/>
  <c r="Z46" i="4"/>
  <c r="I46" i="4"/>
  <c r="AB44" i="4"/>
  <c r="AA44" i="4"/>
  <c r="Z44" i="4"/>
  <c r="I44" i="4"/>
  <c r="AB43" i="4"/>
  <c r="AA43" i="4"/>
  <c r="Z43" i="4"/>
  <c r="I43" i="4"/>
  <c r="AB42" i="4"/>
  <c r="AA42" i="4"/>
  <c r="Z42" i="4"/>
  <c r="I42" i="4"/>
  <c r="AB40" i="4"/>
  <c r="AA40" i="4"/>
  <c r="Z40" i="4"/>
  <c r="I40" i="4"/>
  <c r="AB38" i="4"/>
  <c r="AA38" i="4"/>
  <c r="Z38" i="4"/>
  <c r="AB36" i="4"/>
  <c r="AA36" i="4"/>
  <c r="Z36" i="4"/>
  <c r="AB35" i="4"/>
  <c r="AA35" i="4"/>
  <c r="Z35" i="4"/>
  <c r="H35" i="4"/>
  <c r="H36" i="4" s="1"/>
  <c r="G35" i="4"/>
  <c r="G36" i="4" s="1"/>
  <c r="F35" i="4"/>
  <c r="F36" i="4" s="1"/>
  <c r="E35" i="4"/>
  <c r="E36" i="4" s="1"/>
  <c r="AB34" i="4"/>
  <c r="AA34" i="4"/>
  <c r="Z34" i="4"/>
  <c r="A27" i="4"/>
  <c r="X177" i="4"/>
  <c r="W89" i="4"/>
  <c r="W79" i="4"/>
  <c r="Y121" i="4"/>
  <c r="X161" i="4"/>
  <c r="W164" i="4"/>
  <c r="W163" i="4"/>
  <c r="X165" i="4"/>
  <c r="X166" i="4"/>
  <c r="X164" i="4"/>
  <c r="Y108" i="4"/>
  <c r="Y109" i="4"/>
  <c r="Y130" i="4"/>
  <c r="W90" i="4"/>
  <c r="W61" i="4"/>
  <c r="W70" i="4"/>
  <c r="W84" i="4"/>
  <c r="Y92" i="4"/>
  <c r="W167" i="4"/>
  <c r="W172" i="4"/>
  <c r="W113" i="4"/>
  <c r="Y133" i="4"/>
  <c r="Y138" i="4"/>
  <c r="W165" i="4"/>
  <c r="W166" i="4"/>
  <c r="W138" i="4"/>
  <c r="W161" i="4"/>
  <c r="W71" i="4"/>
  <c r="W76" i="4"/>
  <c r="W67" i="4"/>
  <c r="Y67" i="4"/>
  <c r="Y75" i="4"/>
  <c r="AC128" i="4"/>
  <c r="AC116" i="4"/>
  <c r="AC119" i="4"/>
  <c r="AB89" i="4"/>
  <c r="AB90" i="4"/>
  <c r="AC133" i="4"/>
  <c r="AC124" i="4"/>
  <c r="W126" i="4" s="1"/>
  <c r="E126" i="4"/>
  <c r="F126" i="4"/>
  <c r="G126" i="4" s="1"/>
  <c r="H126" i="4" s="1"/>
  <c r="F125" i="4"/>
  <c r="G125" i="4" s="1"/>
  <c r="H125" i="4" s="1"/>
  <c r="W46" i="4"/>
  <c r="Y46" i="4"/>
  <c r="Y90" i="4"/>
  <c r="Y51" i="4"/>
  <c r="Y48" i="4"/>
  <c r="W55" i="4"/>
  <c r="Y55" i="4"/>
  <c r="W177" i="4"/>
  <c r="Y110" i="4"/>
  <c r="AC113" i="4"/>
  <c r="Y40" i="4"/>
  <c r="Y42" i="4"/>
  <c r="Y43" i="4"/>
  <c r="Y54" i="4"/>
  <c r="W155" i="4"/>
  <c r="W40" i="4"/>
  <c r="W93" i="4"/>
  <c r="W63" i="4"/>
  <c r="W173" i="4"/>
  <c r="X173" i="4"/>
  <c r="W158" i="4"/>
  <c r="W118" i="4"/>
  <c r="W117" i="4"/>
  <c r="W116" i="4"/>
  <c r="W62" i="4"/>
  <c r="W54" i="4"/>
  <c r="W77" i="4"/>
  <c r="W44" i="4"/>
  <c r="W152" i="4"/>
  <c r="W125" i="4"/>
  <c r="W124" i="4"/>
  <c r="W42" i="4"/>
  <c r="W120" i="4"/>
  <c r="W119" i="4"/>
  <c r="W121" i="4"/>
  <c r="W114" i="4"/>
  <c r="X155" i="4"/>
  <c r="X158" i="4"/>
  <c r="X152" i="4"/>
  <c r="AC109" i="4"/>
  <c r="W109" i="4" s="1"/>
  <c r="C100" i="4"/>
  <c r="X133" i="4" s="1"/>
  <c r="W50" i="4"/>
  <c r="Y50" i="4"/>
  <c r="X126" i="4"/>
  <c r="X135" i="4"/>
  <c r="X120" i="4"/>
  <c r="X128" i="4"/>
  <c r="W78" i="4"/>
  <c r="W136" i="4"/>
  <c r="W134" i="4"/>
  <c r="W135" i="4"/>
  <c r="W133" i="4"/>
  <c r="W110" i="4"/>
  <c r="W92" i="4"/>
  <c r="W130" i="4"/>
  <c r="W129" i="4"/>
  <c r="W128" i="4"/>
  <c r="X111" i="4"/>
  <c r="X109" i="4"/>
  <c r="X136" i="4" l="1"/>
  <c r="X119" i="4"/>
  <c r="X110" i="4"/>
  <c r="Y35" i="4"/>
  <c r="Y34" i="4"/>
  <c r="W36" i="4"/>
  <c r="Y36" i="4"/>
  <c r="X169" i="4"/>
  <c r="Y89" i="4"/>
  <c r="Y129" i="4"/>
  <c r="W74" i="4"/>
  <c r="Y38" i="4"/>
  <c r="W150" i="4"/>
  <c r="W149" i="4"/>
  <c r="X138" i="4"/>
  <c r="X129" i="4"/>
  <c r="X113" i="4"/>
  <c r="X118" i="4"/>
  <c r="X116" i="4"/>
  <c r="X108" i="4"/>
  <c r="X130" i="4"/>
  <c r="X114" i="4"/>
  <c r="X125" i="4"/>
  <c r="X134" i="4"/>
  <c r="X117" i="4"/>
  <c r="X121" i="4"/>
  <c r="X124" i="4"/>
  <c r="W111" i="4"/>
  <c r="G56" i="4"/>
  <c r="H55" i="4"/>
  <c r="H56" i="4" s="1"/>
  <c r="H106" i="4"/>
  <c r="H96" i="4"/>
  <c r="Y44" i="4"/>
  <c r="Y76" i="4"/>
  <c r="W176" i="4"/>
  <c r="W75" i="4"/>
  <c r="AC106" i="4"/>
  <c r="X107" i="4" s="1"/>
  <c r="F113" i="4"/>
  <c r="C26" i="4"/>
  <c r="C27" i="4" s="1"/>
  <c r="W38" i="4" s="1"/>
  <c r="W95" i="4" l="1"/>
  <c r="X95" i="4" s="1"/>
  <c r="X96" i="4"/>
  <c r="W43" i="4"/>
  <c r="X150" i="4"/>
  <c r="X149" i="4"/>
  <c r="X90" i="4"/>
  <c r="X62" i="4"/>
  <c r="X35" i="4"/>
  <c r="X34" i="4"/>
  <c r="X70" i="4"/>
  <c r="X50" i="4"/>
  <c r="X67" i="4"/>
  <c r="X89" i="4"/>
  <c r="X44" i="4"/>
  <c r="X74" i="4"/>
  <c r="X46" i="4"/>
  <c r="X75" i="4"/>
  <c r="X83" i="4"/>
  <c r="X54" i="4"/>
  <c r="X48" i="4"/>
  <c r="X52" i="4"/>
  <c r="X77" i="4"/>
  <c r="X42" i="4"/>
  <c r="X61" i="4"/>
  <c r="X76" i="4"/>
  <c r="X84" i="4"/>
  <c r="X51" i="4"/>
  <c r="X47" i="4"/>
  <c r="X79" i="4"/>
  <c r="X65" i="4"/>
  <c r="X93" i="4"/>
  <c r="X55" i="4"/>
  <c r="X92" i="4"/>
  <c r="X40" i="4"/>
  <c r="X78" i="4"/>
  <c r="X63" i="4"/>
  <c r="X56" i="4"/>
  <c r="X71" i="4"/>
  <c r="X36" i="4"/>
  <c r="X43" i="4"/>
  <c r="X82" i="4"/>
  <c r="F119" i="4"/>
  <c r="F120" i="4" s="1"/>
  <c r="F121" i="4" s="1"/>
  <c r="G113" i="4"/>
  <c r="W106" i="4"/>
  <c r="X106" i="4" s="1"/>
  <c r="X140" i="4" s="1"/>
  <c r="W108" i="4"/>
  <c r="W107" i="4"/>
  <c r="H107" i="4"/>
  <c r="H116" i="4"/>
  <c r="X38" i="4" l="1"/>
  <c r="X181" i="4"/>
  <c r="G119" i="4"/>
  <c r="G120" i="4" s="1"/>
  <c r="G121" i="4" s="1"/>
  <c r="H113" i="4"/>
  <c r="H119" i="4" s="1"/>
  <c r="H120" i="4" s="1"/>
  <c r="H121" i="4" s="1"/>
  <c r="H108" i="4"/>
  <c r="H118" i="4" s="1"/>
  <c r="H117" i="4"/>
  <c r="Y97" i="4" l="1"/>
  <c r="X184" i="4" s="1"/>
  <c r="X185" i="4" l="1"/>
  <c r="X186" i="4" s="1"/>
  <c r="Y184" i="4" l="1"/>
  <c r="N98" i="4" l="1"/>
  <c r="N145" i="4"/>
  <c r="N24" i="4"/>
</calcChain>
</file>

<file path=xl/sharedStrings.xml><?xml version="1.0" encoding="utf-8"?>
<sst xmlns="http://schemas.openxmlformats.org/spreadsheetml/2006/main" count="521" uniqueCount="168">
  <si>
    <t>Rechnungsadresse:</t>
  </si>
  <si>
    <t>Lieferadresse (falls abweichend):</t>
  </si>
  <si>
    <t>Firma / Verein:</t>
  </si>
  <si>
    <t>Straße:</t>
  </si>
  <si>
    <t>Telefonnummer:</t>
  </si>
  <si>
    <t>Fax:</t>
  </si>
  <si>
    <t>E-Mail Adresse:</t>
  </si>
  <si>
    <t>Preisangaben:</t>
  </si>
  <si>
    <t>Oberteile</t>
  </si>
  <si>
    <t>Gesamt Stückzahl Oberteile:</t>
  </si>
  <si>
    <t>Nähte:</t>
  </si>
  <si>
    <t>kurz</t>
  </si>
  <si>
    <t>Gesamtaufpreis</t>
  </si>
  <si>
    <t>RV Aufpreis</t>
  </si>
  <si>
    <t>Abschluss Aufpreis</t>
  </si>
  <si>
    <t>Aufpreis Tasche</t>
  </si>
  <si>
    <t>Nähte</t>
  </si>
  <si>
    <t>Artikel</t>
  </si>
  <si>
    <t>Abschluss</t>
  </si>
  <si>
    <t>Reißverschluss</t>
  </si>
  <si>
    <t>Taschen Option</t>
  </si>
  <si>
    <t>Menge</t>
  </si>
  <si>
    <t>4XS</t>
  </si>
  <si>
    <t>3XS</t>
  </si>
  <si>
    <t>2XS</t>
  </si>
  <si>
    <t xml:space="preserve">XS </t>
  </si>
  <si>
    <t>S</t>
  </si>
  <si>
    <t>M</t>
  </si>
  <si>
    <t>L</t>
  </si>
  <si>
    <t>XL</t>
  </si>
  <si>
    <t>XXL</t>
  </si>
  <si>
    <t>3XL</t>
  </si>
  <si>
    <t>4XL</t>
  </si>
  <si>
    <t>5XL</t>
  </si>
  <si>
    <t>Einzelpreis</t>
  </si>
  <si>
    <t>Gesamtpreis</t>
  </si>
  <si>
    <t>normale Nähte</t>
  </si>
  <si>
    <t>vertapte Nähte</t>
  </si>
  <si>
    <t>Kurzarmtrikots</t>
  </si>
  <si>
    <t>classicsoft</t>
  </si>
  <si>
    <t>silikonlinie</t>
  </si>
  <si>
    <t>durchgehend blind</t>
  </si>
  <si>
    <t>ohne RV Tasche</t>
  </si>
  <si>
    <t>Abschlüsse Hosen:</t>
  </si>
  <si>
    <t>3/4 versteckt</t>
  </si>
  <si>
    <t xml:space="preserve">airpro bioactive </t>
  </si>
  <si>
    <t>Aero</t>
  </si>
  <si>
    <t>Reißverschlüsse:</t>
  </si>
  <si>
    <t>durchgehend</t>
  </si>
  <si>
    <t>ärmellos / airpro bioactive</t>
  </si>
  <si>
    <t>Einsätze</t>
  </si>
  <si>
    <t>Preise lange Hosen</t>
  </si>
  <si>
    <t>ohne Einsatz</t>
  </si>
  <si>
    <t>women / airpro bioactive</t>
  </si>
  <si>
    <t>Tour Carbon *Man*</t>
  </si>
  <si>
    <t>Multi-D-Anatomic-Carbon</t>
  </si>
  <si>
    <t>XXXL</t>
  </si>
  <si>
    <t>Tour Carbon *Woman*</t>
  </si>
  <si>
    <r>
      <t xml:space="preserve">Langarmtrikots </t>
    </r>
    <r>
      <rPr>
        <sz val="11"/>
        <rFont val="Arial"/>
        <family val="2"/>
      </rPr>
      <t>(inkl. durchgehendem RV)</t>
    </r>
  </si>
  <si>
    <t>2nd Layer</t>
  </si>
  <si>
    <t>Superroubaix</t>
  </si>
  <si>
    <t>Druckbahn</t>
  </si>
  <si>
    <t>Seitenbahn</t>
  </si>
  <si>
    <t>Women / 2nd Layer</t>
  </si>
  <si>
    <t>Bogendruck</t>
  </si>
  <si>
    <t>Women / Superroubaix</t>
  </si>
  <si>
    <t>Taschenoption</t>
  </si>
  <si>
    <t>ohne Eingriff</t>
  </si>
  <si>
    <t>mit RV Tasche</t>
  </si>
  <si>
    <t xml:space="preserve">thermo </t>
  </si>
  <si>
    <t>Westeneingriff</t>
  </si>
  <si>
    <t>mit Eingriff</t>
  </si>
  <si>
    <r>
      <t xml:space="preserve">gobi </t>
    </r>
    <r>
      <rPr>
        <sz val="8"/>
        <rFont val="Arial"/>
        <family val="2"/>
      </rPr>
      <t>(unbedruckt)</t>
    </r>
  </si>
  <si>
    <t>thermo</t>
  </si>
  <si>
    <t>thermo plus</t>
  </si>
  <si>
    <t>thermo aero (vertapte Nähte!)</t>
  </si>
  <si>
    <t>Unterhemden</t>
  </si>
  <si>
    <t>ärmellos</t>
  </si>
  <si>
    <t>ohne</t>
  </si>
  <si>
    <t>kurzarm</t>
  </si>
  <si>
    <t>langarm</t>
  </si>
  <si>
    <t>Einsatz</t>
  </si>
  <si>
    <t>kurzarm Powerlycra</t>
  </si>
  <si>
    <t>Hosen</t>
  </si>
  <si>
    <t>Gesamt Stückzahl Hosen:</t>
  </si>
  <si>
    <t>echte Flachnähte</t>
  </si>
  <si>
    <t>kurze Hosen</t>
  </si>
  <si>
    <t>Sitzpolster</t>
  </si>
  <si>
    <t>XS</t>
  </si>
  <si>
    <t>Gesamt</t>
  </si>
  <si>
    <t>Polster</t>
  </si>
  <si>
    <t>mit Netzträgern Kompression</t>
  </si>
  <si>
    <t>ohne Traeger Kompression</t>
  </si>
  <si>
    <t>woman mit Womanträgern</t>
  </si>
  <si>
    <t>women ohne Traeger</t>
  </si>
  <si>
    <t>Kniehosen</t>
  </si>
  <si>
    <t>3/4 Netzträger Kompression</t>
  </si>
  <si>
    <t>4/5 Superroubaix mit Netzztägern</t>
  </si>
  <si>
    <t>lange Hosen</t>
  </si>
  <si>
    <t>Thermoroubaix mit Netzztägern</t>
  </si>
  <si>
    <t>Thermo plus</t>
  </si>
  <si>
    <t>Gesamtpreis Hosen:</t>
  </si>
  <si>
    <t>Zubehör</t>
  </si>
  <si>
    <t>jede weitere Farbe wie Hosen</t>
  </si>
  <si>
    <t>Option</t>
  </si>
  <si>
    <t>Socken extra hoch</t>
  </si>
  <si>
    <t>Armlinge Roubaix</t>
  </si>
  <si>
    <t>Anzahl der Farben (weiß ist keine Farbe):</t>
  </si>
  <si>
    <t>Knielinge Roubaix</t>
  </si>
  <si>
    <t>Beinlinge Roubaix</t>
  </si>
  <si>
    <t>Handschuhe Sommer Stretch</t>
  </si>
  <si>
    <t>Anzahl der Farben:</t>
  </si>
  <si>
    <t>onesize</t>
  </si>
  <si>
    <t>Sommermütze</t>
  </si>
  <si>
    <t>4-Panel</t>
  </si>
  <si>
    <t>Verpflegungsbeutel</t>
  </si>
  <si>
    <t>Wintermütze</t>
  </si>
  <si>
    <t>Trainingsanzug Team (bedruckbar!!)</t>
  </si>
  <si>
    <t>Trainingsanzug Pro (bedruckbar!!)</t>
  </si>
  <si>
    <t>Regenjacke Gobi</t>
  </si>
  <si>
    <t>Gesamtpreis Zubehör:</t>
  </si>
  <si>
    <t>T-Evo</t>
  </si>
  <si>
    <t>5XS</t>
  </si>
  <si>
    <r>
      <rPr>
        <b/>
        <sz val="12"/>
        <rFont val="Arial"/>
        <family val="2"/>
      </rPr>
      <t>Reinneinteiler</t>
    </r>
    <r>
      <rPr>
        <sz val="12"/>
        <rFont val="Arial"/>
        <family val="2"/>
      </rPr>
      <t xml:space="preserve"> (inkl. durchgehend blindem RV)</t>
    </r>
  </si>
  <si>
    <t>Gruppensumme</t>
  </si>
  <si>
    <t>women / aero</t>
  </si>
  <si>
    <t>Jacken</t>
  </si>
  <si>
    <t>Frauenhosen</t>
  </si>
  <si>
    <t>wind  2.0 (mit Netzrücken)</t>
  </si>
  <si>
    <t>wind 2.0</t>
  </si>
  <si>
    <t/>
  </si>
  <si>
    <t>Version:</t>
  </si>
  <si>
    <t>1.0</t>
  </si>
  <si>
    <t>Gem Anatomic *Woman* 2</t>
  </si>
  <si>
    <t>Road Performance Man Space</t>
  </si>
  <si>
    <t>Road Performance Woman Space</t>
  </si>
  <si>
    <t>Ansprechpartner</t>
  </si>
  <si>
    <t>Land (wenn abweichend von Deutschland):</t>
  </si>
  <si>
    <t>PLZ Stadt</t>
  </si>
  <si>
    <t>Handschuhe Sommer Klett</t>
  </si>
  <si>
    <t>Handchuhe Aero</t>
  </si>
  <si>
    <t>Handschuhe Winter</t>
  </si>
  <si>
    <t>Überschuhe Winter</t>
  </si>
  <si>
    <t>TM90  *Man*</t>
  </si>
  <si>
    <t>TM90 *Woman*</t>
  </si>
  <si>
    <t>Gem Anatomic Woman</t>
  </si>
  <si>
    <t>T-Evo *Woman*</t>
  </si>
  <si>
    <t>gewebter Abschluss *NEU*</t>
  </si>
  <si>
    <t>Westen</t>
  </si>
  <si>
    <t>Überschuhe Lycra</t>
  </si>
  <si>
    <t>rain aero (vertapte Nähte!) EVENT</t>
  </si>
  <si>
    <t>Renneinteiler Aero 2.0</t>
  </si>
  <si>
    <t>bodyfit</t>
  </si>
  <si>
    <t>women / aero 2.0</t>
  </si>
  <si>
    <t>Aero 2.0</t>
  </si>
  <si>
    <t>Roubaix Cap</t>
  </si>
  <si>
    <t xml:space="preserve">Wingsuit </t>
  </si>
  <si>
    <t>Endurance Man Anatomic</t>
  </si>
  <si>
    <t>ohne Tasche</t>
  </si>
  <si>
    <t>No Pinz</t>
  </si>
  <si>
    <t>Taschen Anzüge</t>
  </si>
  <si>
    <t>Aero gewebt</t>
  </si>
  <si>
    <t>Trägerhose gewebt</t>
  </si>
  <si>
    <t>T-EVO</t>
  </si>
  <si>
    <t>Meryl®</t>
  </si>
  <si>
    <t>Bestellformular 2019</t>
  </si>
  <si>
    <t>Socken standard</t>
  </si>
  <si>
    <t>inkl. 19 %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</si>
</sst>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&quot;* #,##0.00_);_(&quot;€&quot;* \(#,##0.00\);_(&quot;€&quot;* &quot;-&quot;??_);_(@_)"/>
    <numFmt numFmtId="165" formatCode="#,##0.00\ &quot;€&quot;"/>
    <numFmt numFmtId="166" formatCode="_-* #,##0.00\ &quot;DM&quot;_-;\-* #,##0.00\ &quot;DM&quot;_-;_-* &quot;-&quot;??\ &quot;DM&quot;_-;_-@_-"/>
    <numFmt numFmtId="167" formatCode="_-* #,##0.00\ [$€-1]_-;\-* #,##0.00\ [$€-1]_-;_-* &quot;-&quot;??\ [$€-1]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2"/>
      <color theme="4" tint="0.59999389629810485"/>
      <name val="Arial"/>
      <family val="2"/>
    </font>
    <font>
      <sz val="6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u/>
      <sz val="1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20"/>
      <color indexed="10"/>
      <name val="Arial"/>
      <family val="2"/>
    </font>
    <font>
      <b/>
      <u/>
      <sz val="6"/>
      <color indexed="10"/>
      <name val="Arial"/>
      <family val="2"/>
    </font>
    <font>
      <b/>
      <u/>
      <sz val="2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23" fillId="0" borderId="0"/>
    <xf numFmtId="0" fontId="24" fillId="0" borderId="0"/>
    <xf numFmtId="0" fontId="2" fillId="0" borderId="0"/>
  </cellStyleXfs>
  <cellXfs count="159">
    <xf numFmtId="0" fontId="0" fillId="0" borderId="0" xfId="0"/>
    <xf numFmtId="0" fontId="5" fillId="2" borderId="0" xfId="7" applyFont="1" applyFill="1" applyProtection="1"/>
    <xf numFmtId="0" fontId="6" fillId="2" borderId="0" xfId="7" applyFont="1" applyFill="1" applyProtection="1"/>
    <xf numFmtId="0" fontId="5" fillId="0" borderId="0" xfId="7" applyFont="1" applyProtection="1"/>
    <xf numFmtId="0" fontId="9" fillId="2" borderId="0" xfId="7" applyFont="1" applyFill="1" applyBorder="1" applyAlignment="1" applyProtection="1"/>
    <xf numFmtId="0" fontId="5" fillId="2" borderId="5" xfId="7" applyFont="1" applyFill="1" applyBorder="1" applyProtection="1">
      <protection hidden="1"/>
    </xf>
    <xf numFmtId="165" fontId="5" fillId="2" borderId="0" xfId="7" applyNumberFormat="1" applyFont="1" applyFill="1" applyProtection="1"/>
    <xf numFmtId="0" fontId="9" fillId="5" borderId="5" xfId="7" applyFont="1" applyFill="1" applyBorder="1" applyProtection="1">
      <protection locked="0"/>
    </xf>
    <xf numFmtId="0" fontId="24" fillId="0" borderId="5" xfId="7" applyBorder="1" applyProtection="1">
      <protection hidden="1"/>
    </xf>
    <xf numFmtId="0" fontId="5" fillId="0" borderId="5" xfId="7" applyFont="1" applyBorder="1" applyProtection="1">
      <protection hidden="1"/>
    </xf>
    <xf numFmtId="0" fontId="9" fillId="2" borderId="0" xfId="7" applyFont="1" applyFill="1" applyAlignment="1" applyProtection="1"/>
    <xf numFmtId="165" fontId="5" fillId="0" borderId="0" xfId="7" applyNumberFormat="1" applyFont="1" applyProtection="1"/>
    <xf numFmtId="0" fontId="12" fillId="2" borderId="0" xfId="7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Protection="1"/>
    <xf numFmtId="0" fontId="5" fillId="3" borderId="0" xfId="0" applyFont="1" applyFill="1" applyProtection="1"/>
    <xf numFmtId="0" fontId="9" fillId="2" borderId="0" xfId="0" applyFont="1" applyFill="1" applyProtection="1"/>
    <xf numFmtId="0" fontId="9" fillId="3" borderId="1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5" fillId="0" borderId="0" xfId="0" applyFont="1" applyProtection="1"/>
    <xf numFmtId="0" fontId="4" fillId="2" borderId="0" xfId="0" applyFont="1" applyFill="1" applyAlignment="1" applyProtection="1">
      <alignment horizontal="right"/>
    </xf>
    <xf numFmtId="0" fontId="13" fillId="2" borderId="0" xfId="0" applyFont="1" applyFill="1" applyProtection="1"/>
    <xf numFmtId="0" fontId="5" fillId="2" borderId="0" xfId="0" applyNumberFormat="1" applyFont="1" applyFill="1" applyProtection="1"/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/>
    </xf>
    <xf numFmtId="3" fontId="9" fillId="2" borderId="0" xfId="0" applyNumberFormat="1" applyFont="1" applyFill="1" applyProtection="1"/>
    <xf numFmtId="0" fontId="9" fillId="4" borderId="5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9" fillId="2" borderId="5" xfId="0" applyNumberFormat="1" applyFont="1" applyFill="1" applyBorder="1" applyAlignment="1" applyProtection="1">
      <alignment horizontal="left"/>
    </xf>
    <xf numFmtId="0" fontId="9" fillId="2" borderId="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9" fillId="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Protection="1"/>
    <xf numFmtId="0" fontId="9" fillId="2" borderId="0" xfId="0" applyFont="1" applyFill="1" applyBorder="1" applyProtection="1"/>
    <xf numFmtId="0" fontId="9" fillId="3" borderId="0" xfId="0" applyFont="1" applyFill="1" applyProtection="1"/>
    <xf numFmtId="165" fontId="5" fillId="2" borderId="0" xfId="0" applyNumberFormat="1" applyFont="1" applyFill="1" applyProtection="1"/>
    <xf numFmtId="166" fontId="9" fillId="3" borderId="5" xfId="0" applyNumberFormat="1" applyFont="1" applyFill="1" applyBorder="1" applyProtection="1"/>
    <xf numFmtId="0" fontId="9" fillId="5" borderId="5" xfId="0" applyFont="1" applyFill="1" applyBorder="1" applyProtection="1">
      <protection locked="0"/>
    </xf>
    <xf numFmtId="165" fontId="5" fillId="3" borderId="5" xfId="0" applyNumberFormat="1" applyFont="1" applyFill="1" applyBorder="1" applyProtection="1"/>
    <xf numFmtId="1" fontId="9" fillId="3" borderId="5" xfId="0" applyNumberFormat="1" applyFont="1" applyFill="1" applyBorder="1" applyProtection="1"/>
    <xf numFmtId="0" fontId="5" fillId="4" borderId="5" xfId="0" applyNumberFormat="1" applyFont="1" applyFill="1" applyBorder="1" applyProtection="1">
      <protection locked="0"/>
    </xf>
    <xf numFmtId="0" fontId="9" fillId="2" borderId="5" xfId="0" applyNumberFormat="1" applyFont="1" applyFill="1" applyBorder="1" applyProtection="1"/>
    <xf numFmtId="166" fontId="4" fillId="3" borderId="5" xfId="0" applyNumberFormat="1" applyFont="1" applyFill="1" applyBorder="1" applyProtection="1"/>
    <xf numFmtId="0" fontId="9" fillId="3" borderId="5" xfId="0" applyFont="1" applyFill="1" applyBorder="1" applyProtection="1"/>
    <xf numFmtId="166" fontId="4" fillId="2" borderId="1" xfId="0" applyNumberFormat="1" applyFont="1" applyFill="1" applyBorder="1" applyProtection="1"/>
    <xf numFmtId="166" fontId="9" fillId="2" borderId="1" xfId="0" applyNumberFormat="1" applyFont="1" applyFill="1" applyBorder="1" applyProtection="1"/>
    <xf numFmtId="0" fontId="5" fillId="2" borderId="1" xfId="0" applyFont="1" applyFill="1" applyBorder="1" applyProtection="1"/>
    <xf numFmtId="166" fontId="4" fillId="2" borderId="9" xfId="0" applyNumberFormat="1" applyFont="1" applyFill="1" applyBorder="1" applyAlignment="1" applyProtection="1">
      <alignment horizontal="left"/>
    </xf>
    <xf numFmtId="0" fontId="5" fillId="2" borderId="9" xfId="0" applyFont="1" applyFill="1" applyBorder="1" applyProtection="1"/>
    <xf numFmtId="165" fontId="5" fillId="2" borderId="9" xfId="0" applyNumberFormat="1" applyFont="1" applyFill="1" applyBorder="1" applyProtection="1"/>
    <xf numFmtId="1" fontId="9" fillId="2" borderId="9" xfId="0" applyNumberFormat="1" applyFont="1" applyFill="1" applyBorder="1" applyProtection="1"/>
    <xf numFmtId="1" fontId="9" fillId="2" borderId="0" xfId="0" applyNumberFormat="1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Protection="1"/>
    <xf numFmtId="1" fontId="5" fillId="2" borderId="0" xfId="0" applyNumberFormat="1" applyFont="1" applyFill="1" applyBorder="1" applyProtection="1"/>
    <xf numFmtId="0" fontId="19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3" fontId="9" fillId="2" borderId="0" xfId="0" applyNumberFormat="1" applyFont="1" applyFill="1" applyBorder="1" applyProtection="1"/>
    <xf numFmtId="1" fontId="5" fillId="2" borderId="0" xfId="0" applyNumberFormat="1" applyFont="1" applyFill="1" applyProtection="1"/>
    <xf numFmtId="0" fontId="12" fillId="3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3" fontId="5" fillId="2" borderId="0" xfId="0" applyNumberFormat="1" applyFont="1" applyFill="1" applyBorder="1" applyProtection="1"/>
    <xf numFmtId="0" fontId="9" fillId="5" borderId="0" xfId="0" applyFont="1" applyFill="1" applyBorder="1" applyProtection="1">
      <protection locked="0"/>
    </xf>
    <xf numFmtId="165" fontId="5" fillId="0" borderId="5" xfId="0" applyNumberFormat="1" applyFont="1" applyBorder="1" applyProtection="1"/>
    <xf numFmtId="165" fontId="0" fillId="0" borderId="0" xfId="0" applyNumberFormat="1" applyBorder="1" applyProtection="1"/>
    <xf numFmtId="0" fontId="7" fillId="2" borderId="0" xfId="0" applyFont="1" applyFill="1" applyBorder="1" applyProtection="1"/>
    <xf numFmtId="0" fontId="5" fillId="2" borderId="0" xfId="0" applyFont="1" applyFill="1" applyProtection="1">
      <protection locked="0"/>
    </xf>
    <xf numFmtId="164" fontId="4" fillId="2" borderId="0" xfId="1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left"/>
    </xf>
    <xf numFmtId="0" fontId="5" fillId="3" borderId="5" xfId="0" applyFont="1" applyFill="1" applyBorder="1" applyProtection="1"/>
    <xf numFmtId="0" fontId="5" fillId="0" borderId="5" xfId="0" applyFont="1" applyFill="1" applyBorder="1" applyProtection="1"/>
    <xf numFmtId="0" fontId="5" fillId="4" borderId="11" xfId="0" applyNumberFormat="1" applyFont="1" applyFill="1" applyBorder="1" applyProtection="1">
      <protection locked="0"/>
    </xf>
    <xf numFmtId="0" fontId="9" fillId="6" borderId="5" xfId="0" applyFont="1" applyFill="1" applyBorder="1" applyAlignment="1" applyProtection="1">
      <alignment horizontal="right"/>
    </xf>
    <xf numFmtId="0" fontId="4" fillId="6" borderId="5" xfId="0" applyFont="1" applyFill="1" applyBorder="1" applyAlignment="1" applyProtection="1">
      <alignment horizontal="right"/>
    </xf>
    <xf numFmtId="0" fontId="5" fillId="7" borderId="5" xfId="0" applyFont="1" applyFill="1" applyBorder="1" applyProtection="1"/>
    <xf numFmtId="0" fontId="5" fillId="0" borderId="5" xfId="0" applyFont="1" applyBorder="1" applyProtection="1"/>
    <xf numFmtId="1" fontId="5" fillId="6" borderId="5" xfId="0" applyNumberFormat="1" applyFont="1" applyFill="1" applyBorder="1" applyProtection="1"/>
    <xf numFmtId="0" fontId="5" fillId="0" borderId="5" xfId="0" applyNumberFormat="1" applyFont="1" applyBorder="1" applyProtection="1"/>
    <xf numFmtId="0" fontId="4" fillId="3" borderId="5" xfId="0" applyFont="1" applyFill="1" applyBorder="1" applyProtection="1"/>
    <xf numFmtId="1" fontId="9" fillId="2" borderId="3" xfId="0" applyNumberFormat="1" applyFont="1" applyFill="1" applyBorder="1" applyProtection="1"/>
    <xf numFmtId="1" fontId="5" fillId="4" borderId="5" xfId="0" applyNumberFormat="1" applyFont="1" applyFill="1" applyBorder="1" applyProtection="1">
      <protection locked="0"/>
    </xf>
    <xf numFmtId="0" fontId="9" fillId="2" borderId="3" xfId="0" applyFont="1" applyFill="1" applyBorder="1" applyProtection="1"/>
    <xf numFmtId="0" fontId="4" fillId="2" borderId="3" xfId="0" applyFont="1" applyFill="1" applyBorder="1" applyProtection="1"/>
    <xf numFmtId="0" fontId="5" fillId="2" borderId="3" xfId="0" applyFont="1" applyFill="1" applyBorder="1" applyProtection="1"/>
    <xf numFmtId="0" fontId="5" fillId="3" borderId="3" xfId="0" applyFont="1" applyFill="1" applyBorder="1" applyProtection="1"/>
    <xf numFmtId="1" fontId="5" fillId="6" borderId="0" xfId="0" applyNumberFormat="1" applyFont="1" applyFill="1" applyBorder="1" applyProtection="1"/>
    <xf numFmtId="0" fontId="5" fillId="6" borderId="5" xfId="0" applyFont="1" applyFill="1" applyBorder="1" applyProtection="1"/>
    <xf numFmtId="0" fontId="9" fillId="0" borderId="0" xfId="0" applyFont="1" applyProtection="1"/>
    <xf numFmtId="0" fontId="4" fillId="0" borderId="0" xfId="0" applyFont="1" applyProtection="1"/>
    <xf numFmtId="0" fontId="9" fillId="6" borderId="5" xfId="0" applyFont="1" applyFill="1" applyBorder="1" applyProtection="1"/>
    <xf numFmtId="0" fontId="4" fillId="6" borderId="5" xfId="0" applyFont="1" applyFill="1" applyBorder="1" applyProtection="1"/>
    <xf numFmtId="1" fontId="9" fillId="8" borderId="5" xfId="0" applyNumberFormat="1" applyFont="1" applyFill="1" applyBorder="1" applyProtection="1"/>
    <xf numFmtId="0" fontId="5" fillId="6" borderId="5" xfId="0" applyNumberFormat="1" applyFont="1" applyFill="1" applyBorder="1" applyProtection="1"/>
    <xf numFmtId="165" fontId="5" fillId="6" borderId="5" xfId="0" applyNumberFormat="1" applyFont="1" applyFill="1" applyBorder="1" applyProtection="1"/>
    <xf numFmtId="0" fontId="9" fillId="6" borderId="0" xfId="0" applyFont="1" applyFill="1" applyBorder="1" applyAlignment="1" applyProtection="1">
      <alignment horizontal="right"/>
    </xf>
    <xf numFmtId="0" fontId="4" fillId="6" borderId="0" xfId="0" applyFont="1" applyFill="1" applyBorder="1" applyAlignment="1" applyProtection="1">
      <alignment horizontal="right"/>
    </xf>
    <xf numFmtId="0" fontId="5" fillId="7" borderId="0" xfId="0" applyFont="1" applyFill="1" applyBorder="1" applyProtection="1"/>
    <xf numFmtId="0" fontId="5" fillId="0" borderId="0" xfId="0" applyFont="1" applyBorder="1" applyProtection="1"/>
    <xf numFmtId="165" fontId="5" fillId="0" borderId="0" xfId="0" applyNumberFormat="1" applyFont="1" applyBorder="1" applyProtection="1"/>
    <xf numFmtId="0" fontId="5" fillId="0" borderId="0" xfId="0" applyNumberFormat="1" applyFont="1" applyBorder="1" applyProtection="1"/>
    <xf numFmtId="0" fontId="5" fillId="6" borderId="0" xfId="0" applyFont="1" applyFill="1" applyBorder="1" applyProtection="1"/>
    <xf numFmtId="0" fontId="5" fillId="2" borderId="12" xfId="0" applyFont="1" applyFill="1" applyBorder="1" applyProtection="1"/>
    <xf numFmtId="165" fontId="9" fillId="2" borderId="0" xfId="0" applyNumberFormat="1" applyFont="1" applyFill="1" applyProtection="1"/>
    <xf numFmtId="0" fontId="7" fillId="0" borderId="0" xfId="0" applyFont="1" applyProtection="1"/>
    <xf numFmtId="165" fontId="5" fillId="3" borderId="0" xfId="7" applyNumberFormat="1" applyFont="1" applyFill="1" applyBorder="1" applyProtection="1"/>
    <xf numFmtId="1" fontId="9" fillId="3" borderId="0" xfId="0" applyNumberFormat="1" applyFont="1" applyFill="1" applyBorder="1" applyProtection="1"/>
    <xf numFmtId="1" fontId="5" fillId="2" borderId="0" xfId="7" applyNumberFormat="1" applyFont="1" applyFill="1" applyProtection="1"/>
    <xf numFmtId="164" fontId="9" fillId="2" borderId="0" xfId="1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166" fontId="9" fillId="0" borderId="5" xfId="0" applyNumberFormat="1" applyFont="1" applyFill="1" applyBorder="1" applyProtection="1"/>
    <xf numFmtId="0" fontId="9" fillId="2" borderId="0" xfId="0" applyFont="1" applyFill="1" applyAlignment="1" applyProtection="1">
      <alignment horizontal="right"/>
    </xf>
    <xf numFmtId="0" fontId="9" fillId="3" borderId="5" xfId="0" applyFont="1" applyFill="1" applyBorder="1" applyProtection="1">
      <protection locked="0"/>
    </xf>
    <xf numFmtId="0" fontId="5" fillId="2" borderId="0" xfId="7" applyFont="1" applyFill="1" applyBorder="1" applyProtection="1">
      <protection hidden="1"/>
    </xf>
    <xf numFmtId="0" fontId="5" fillId="2" borderId="0" xfId="7" applyFont="1" applyFill="1" applyBorder="1" applyProtection="1"/>
    <xf numFmtId="0" fontId="9" fillId="3" borderId="10" xfId="0" applyFont="1" applyFill="1" applyBorder="1" applyProtection="1"/>
    <xf numFmtId="0" fontId="9" fillId="3" borderId="11" xfId="0" applyFont="1" applyFill="1" applyBorder="1" applyProtection="1"/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center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10" fillId="2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right"/>
    </xf>
    <xf numFmtId="0" fontId="9" fillId="2" borderId="13" xfId="0" applyFont="1" applyFill="1" applyBorder="1" applyAlignment="1" applyProtection="1">
      <alignment horizontal="right"/>
    </xf>
    <xf numFmtId="49" fontId="5" fillId="4" borderId="2" xfId="0" applyNumberFormat="1" applyFont="1" applyFill="1" applyBorder="1" applyAlignment="1" applyProtection="1">
      <alignment horizontal="right"/>
      <protection locked="0"/>
    </xf>
    <xf numFmtId="49" fontId="5" fillId="4" borderId="3" xfId="0" applyNumberFormat="1" applyFont="1" applyFill="1" applyBorder="1" applyAlignment="1" applyProtection="1">
      <alignment horizontal="right"/>
      <protection locked="0"/>
    </xf>
    <xf numFmtId="49" fontId="0" fillId="4" borderId="3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</xf>
    <xf numFmtId="164" fontId="9" fillId="2" borderId="0" xfId="1" applyFont="1" applyFill="1" applyAlignment="1" applyProtection="1">
      <alignment horizontal="right"/>
    </xf>
    <xf numFmtId="0" fontId="22" fillId="2" borderId="0" xfId="0" applyFont="1" applyFill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</cellXfs>
  <cellStyles count="9">
    <cellStyle name="Euro" xfId="5"/>
    <cellStyle name="Hyperlink 2" xfId="4"/>
    <cellStyle name="Standard" xfId="0" builtinId="0"/>
    <cellStyle name="Standard 2" xfId="6"/>
    <cellStyle name="Standard 3" xfId="2"/>
    <cellStyle name="Standard 4" xfId="7"/>
    <cellStyle name="Standard 4 2" xfId="8"/>
    <cellStyle name="Währung" xfId="1" builtinId="4"/>
    <cellStyle name="Währung 2" xfId="3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E193"/>
  <sheetViews>
    <sheetView tabSelected="1" topLeftCell="A57" zoomScale="75" zoomScaleNormal="75" workbookViewId="0">
      <selection activeCell="O110" sqref="O110"/>
    </sheetView>
  </sheetViews>
  <sheetFormatPr baseColWidth="10" defaultRowHeight="15" x14ac:dyDescent="0.2"/>
  <cols>
    <col min="1" max="1" width="35.42578125" style="24" customWidth="1"/>
    <col min="2" max="2" width="32" style="112" customWidth="1"/>
    <col min="3" max="3" width="26.7109375" style="24" customWidth="1"/>
    <col min="4" max="4" width="21.28515625" style="24" customWidth="1"/>
    <col min="5" max="5" width="14.5703125" style="24" hidden="1" customWidth="1"/>
    <col min="6" max="6" width="12.28515625" style="24" hidden="1" customWidth="1"/>
    <col min="7" max="7" width="13.5703125" style="24" hidden="1" customWidth="1"/>
    <col min="8" max="8" width="12.42578125" style="24" hidden="1" customWidth="1"/>
    <col min="9" max="9" width="9.140625" style="24" customWidth="1"/>
    <col min="10" max="11" width="6.5703125" style="24" customWidth="1"/>
    <col min="12" max="13" width="5.85546875" style="24" customWidth="1"/>
    <col min="14" max="14" width="5.5703125" style="24" bestFit="1" customWidth="1"/>
    <col min="15" max="15" width="5.5703125" style="24" customWidth="1"/>
    <col min="16" max="16" width="6" style="24" customWidth="1"/>
    <col min="17" max="17" width="6.28515625" style="24" customWidth="1"/>
    <col min="18" max="18" width="7" style="24" customWidth="1"/>
    <col min="19" max="19" width="7.140625" style="24" customWidth="1"/>
    <col min="20" max="22" width="7.28515625" style="24" customWidth="1"/>
    <col min="23" max="23" width="14.28515625" style="24" customWidth="1"/>
    <col min="24" max="24" width="19.42578125" style="24" customWidth="1"/>
    <col min="25" max="25" width="17.28515625" style="3" hidden="1" customWidth="1"/>
    <col min="26" max="26" width="13.28515625" style="3" hidden="1" customWidth="1"/>
    <col min="27" max="27" width="18.140625" style="3" hidden="1" customWidth="1"/>
    <col min="28" max="28" width="17.85546875" style="3" hidden="1" customWidth="1"/>
    <col min="29" max="29" width="51" style="3" hidden="1" customWidth="1"/>
    <col min="30" max="31" width="11.42578125" style="3" hidden="1" customWidth="1"/>
    <col min="32" max="37" width="11.42578125" style="3" customWidth="1"/>
    <col min="38" max="16384" width="11.42578125" style="3"/>
  </cols>
  <sheetData>
    <row r="1" spans="1:57" ht="23.25" x14ac:dyDescent="0.35">
      <c r="A1" s="13" t="s">
        <v>165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">
      <c r="A2" s="17"/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9"/>
      <c r="X2" s="20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5.75" x14ac:dyDescent="0.25">
      <c r="A3" s="21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20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5.75" x14ac:dyDescent="0.25">
      <c r="A4" s="21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9"/>
      <c r="X4" s="20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5.75" x14ac:dyDescent="0.25">
      <c r="A5" s="21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9"/>
      <c r="X5" s="20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15.75" x14ac:dyDescent="0.25">
      <c r="A6" s="21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9"/>
      <c r="X6" s="20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5.75" customHeight="1" x14ac:dyDescent="0.25">
      <c r="A7" s="21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9"/>
      <c r="X7" s="20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5.75" customHeight="1" x14ac:dyDescent="0.25">
      <c r="A8" s="22"/>
      <c r="B8" s="23"/>
      <c r="C8" s="136" t="s">
        <v>0</v>
      </c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9"/>
      <c r="O8" s="140" t="s">
        <v>1</v>
      </c>
      <c r="P8" s="140"/>
      <c r="Q8" s="140"/>
      <c r="R8" s="140"/>
      <c r="S8" s="140"/>
      <c r="T8" s="140"/>
      <c r="U8" s="140"/>
      <c r="V8" s="140"/>
      <c r="W8" s="19"/>
      <c r="X8" s="2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ht="15.75" customHeight="1" x14ac:dyDescent="0.25">
      <c r="A9" s="128" t="s">
        <v>2</v>
      </c>
      <c r="B9" s="129"/>
      <c r="C9" s="132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5"/>
      <c r="O9" s="131"/>
      <c r="P9" s="131"/>
      <c r="Q9" s="131"/>
      <c r="R9" s="131"/>
      <c r="S9" s="131"/>
      <c r="T9" s="131"/>
      <c r="U9" s="131"/>
      <c r="V9" s="131"/>
      <c r="W9" s="15"/>
      <c r="X9" s="1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ht="15.75" customHeight="1" x14ac:dyDescent="0.25">
      <c r="A10" s="128" t="s">
        <v>136</v>
      </c>
      <c r="B10" s="129"/>
      <c r="C10" s="132"/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5"/>
      <c r="O10" s="130"/>
      <c r="P10" s="130"/>
      <c r="Q10" s="130"/>
      <c r="R10" s="130"/>
      <c r="S10" s="130"/>
      <c r="T10" s="130"/>
      <c r="U10" s="130"/>
      <c r="V10" s="130"/>
      <c r="W10" s="15"/>
      <c r="X10" s="15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ht="15.75" customHeight="1" x14ac:dyDescent="0.25">
      <c r="A11" s="128" t="s">
        <v>3</v>
      </c>
      <c r="B11" s="129"/>
      <c r="C11" s="132"/>
      <c r="D11" s="133"/>
      <c r="E11" s="134"/>
      <c r="F11" s="134"/>
      <c r="G11" s="134"/>
      <c r="H11" s="134"/>
      <c r="I11" s="134"/>
      <c r="J11" s="134"/>
      <c r="K11" s="134"/>
      <c r="L11" s="134"/>
      <c r="M11" s="134"/>
      <c r="N11" s="135"/>
      <c r="O11" s="131"/>
      <c r="P11" s="131"/>
      <c r="Q11" s="131"/>
      <c r="R11" s="131"/>
      <c r="S11" s="131"/>
      <c r="T11" s="131"/>
      <c r="U11" s="131"/>
      <c r="V11" s="131"/>
      <c r="W11" s="15"/>
      <c r="X11" s="15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5.75" customHeight="1" x14ac:dyDescent="0.25">
      <c r="A12" s="128" t="s">
        <v>138</v>
      </c>
      <c r="B12" s="129"/>
      <c r="C12" s="132"/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130"/>
      <c r="P12" s="130"/>
      <c r="Q12" s="130"/>
      <c r="R12" s="130"/>
      <c r="S12" s="130"/>
      <c r="T12" s="130"/>
      <c r="U12" s="130"/>
      <c r="V12" s="130"/>
      <c r="W12" s="15"/>
      <c r="X12" s="15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5.75" customHeight="1" x14ac:dyDescent="0.25">
      <c r="A13" s="128" t="s">
        <v>4</v>
      </c>
      <c r="B13" s="129"/>
      <c r="C13" s="132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131"/>
      <c r="P13" s="131"/>
      <c r="Q13" s="131"/>
      <c r="R13" s="131"/>
      <c r="S13" s="131"/>
      <c r="T13" s="131"/>
      <c r="U13" s="131"/>
      <c r="V13" s="131"/>
      <c r="W13" s="15"/>
      <c r="X13" s="1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7.25" customHeight="1" x14ac:dyDescent="0.25">
      <c r="A14" s="128" t="s">
        <v>5</v>
      </c>
      <c r="B14" s="129"/>
      <c r="C14" s="132"/>
      <c r="D14" s="133"/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131"/>
      <c r="P14" s="131"/>
      <c r="Q14" s="131"/>
      <c r="R14" s="131"/>
      <c r="S14" s="131"/>
      <c r="T14" s="131"/>
      <c r="U14" s="131"/>
      <c r="V14" s="131"/>
      <c r="W14" s="15"/>
      <c r="X14" s="1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5.75" x14ac:dyDescent="0.25">
      <c r="A15" s="128" t="s">
        <v>6</v>
      </c>
      <c r="B15" s="129"/>
      <c r="C15" s="132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130"/>
      <c r="P15" s="130"/>
      <c r="Q15" s="130"/>
      <c r="R15" s="130"/>
      <c r="S15" s="130"/>
      <c r="T15" s="130"/>
      <c r="U15" s="130"/>
      <c r="V15" s="130"/>
      <c r="W15" s="19"/>
      <c r="X15" s="20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5.75" x14ac:dyDescent="0.25">
      <c r="A16" s="128" t="s">
        <v>137</v>
      </c>
      <c r="B16" s="129"/>
      <c r="C16" s="148" t="s">
        <v>130</v>
      </c>
      <c r="D16" s="149"/>
      <c r="E16" s="150"/>
      <c r="F16" s="150"/>
      <c r="G16" s="150"/>
      <c r="H16" s="150"/>
      <c r="I16" s="150"/>
      <c r="J16" s="150"/>
      <c r="K16" s="150"/>
      <c r="L16" s="150"/>
      <c r="M16" s="150"/>
      <c r="N16" s="151"/>
      <c r="O16" s="130"/>
      <c r="P16" s="130"/>
      <c r="Q16" s="130"/>
      <c r="R16" s="130"/>
      <c r="S16" s="130"/>
      <c r="T16" s="130"/>
      <c r="U16" s="130"/>
      <c r="V16" s="130"/>
      <c r="W16" s="19"/>
      <c r="X16" s="20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.75" thickBot="1" x14ac:dyDescent="0.25">
      <c r="A17" s="15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9"/>
      <c r="X17" s="20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6.5" thickBot="1" x14ac:dyDescent="0.3">
      <c r="A18" s="146" t="s">
        <v>7</v>
      </c>
      <c r="B18" s="147"/>
      <c r="C18" s="141" t="s">
        <v>167</v>
      </c>
      <c r="D18" s="142"/>
      <c r="E18" s="142"/>
      <c r="F18" s="142"/>
      <c r="G18" s="142"/>
      <c r="H18" s="142"/>
      <c r="I18" s="14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9"/>
      <c r="X18" s="20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x14ac:dyDescent="0.2">
      <c r="A19" s="15"/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20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x14ac:dyDescent="0.2">
      <c r="A20" s="15"/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9"/>
      <c r="X20" s="20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">
      <c r="A21" s="15"/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9"/>
      <c r="X21" s="2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">
      <c r="A22" s="15"/>
      <c r="B22" s="1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9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x14ac:dyDescent="0.2">
      <c r="A23" s="15"/>
      <c r="B23" s="1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  <c r="Y23" s="1"/>
      <c r="Z23" s="1"/>
      <c r="AA23" s="1"/>
      <c r="AB23" s="1"/>
      <c r="AC23" s="2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27.75" x14ac:dyDescent="0.4">
      <c r="A24" s="15"/>
      <c r="B24" s="18"/>
      <c r="C24" s="26" t="s">
        <v>8</v>
      </c>
      <c r="D24" s="26"/>
      <c r="E24" s="15"/>
      <c r="F24" s="27"/>
      <c r="G24" s="15"/>
      <c r="H24" s="15"/>
      <c r="I24" s="15"/>
      <c r="J24" s="15"/>
      <c r="K24" s="15"/>
      <c r="L24" s="15"/>
      <c r="M24" s="15"/>
      <c r="N24" s="144" t="str">
        <f>IF(Y184&lt;2000,"Mindestbestellwert von 2000€ noch nicht erreicht","")</f>
        <v>Mindestbestellwert von 2000€ noch nicht erreicht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4"/>
      <c r="Z24" s="4"/>
      <c r="AA24" s="1"/>
      <c r="AB24" s="1"/>
      <c r="AC24" s="1" t="s">
        <v>131</v>
      </c>
      <c r="AD24" s="1" t="s">
        <v>132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23.25" hidden="1" x14ac:dyDescent="0.35">
      <c r="A25" s="15"/>
      <c r="B25" s="18"/>
      <c r="C25" s="28"/>
      <c r="D25" s="28"/>
      <c r="E25" s="15"/>
      <c r="F25" s="27"/>
      <c r="G25" s="15"/>
      <c r="H25" s="15"/>
      <c r="I25" s="15"/>
      <c r="J25" s="15"/>
      <c r="K25" s="15"/>
      <c r="L25" s="15"/>
      <c r="M25" s="15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5.75" hidden="1" x14ac:dyDescent="0.25">
      <c r="A26" s="119" t="s">
        <v>9</v>
      </c>
      <c r="B26" s="25"/>
      <c r="C26" s="30">
        <f>SUM(I34:I96)</f>
        <v>10</v>
      </c>
      <c r="D26" s="30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5" hidden="1" customHeight="1" x14ac:dyDescent="0.2">
      <c r="A27" s="15">
        <f>IF(C18="ohne Mwst.",1.19,1)</f>
        <v>1</v>
      </c>
      <c r="B27" s="18"/>
      <c r="C27" s="15">
        <f>IF(C100+C26&lt;100,1,IF(C100+C26&lt;200,(1/0.97),(1/0.96)))</f>
        <v>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5.75" hidden="1" customHeight="1" x14ac:dyDescent="0.25">
      <c r="A28" s="119"/>
      <c r="B28" s="25"/>
      <c r="C28" s="15"/>
      <c r="D28" s="15"/>
      <c r="E28" s="119"/>
      <c r="F28" s="119"/>
      <c r="G28" s="119"/>
      <c r="H28" s="119"/>
      <c r="I28" s="15"/>
      <c r="J28" s="15"/>
      <c r="K28" s="1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5.75" hidden="1" customHeight="1" x14ac:dyDescent="0.25">
      <c r="A29" s="119" t="s">
        <v>10</v>
      </c>
      <c r="B29" s="25"/>
      <c r="C29" s="31" t="s">
        <v>11</v>
      </c>
      <c r="D29" s="32"/>
      <c r="E29" s="119"/>
      <c r="F29" s="119"/>
      <c r="G29" s="119"/>
      <c r="H29" s="119"/>
      <c r="I29" s="15"/>
      <c r="J29" s="15"/>
      <c r="K29" s="15"/>
      <c r="W29" s="15"/>
      <c r="X29" s="1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5.75" x14ac:dyDescent="0.25">
      <c r="A30" s="119"/>
      <c r="B30" s="25"/>
      <c r="C30" s="15"/>
      <c r="D30" s="15"/>
      <c r="E30" s="119"/>
      <c r="F30" s="119">
        <f>F62/E62</f>
        <v>0.90907437715948358</v>
      </c>
      <c r="G30" s="121">
        <f t="shared" ref="G30:H30" si="0">G62/F62</f>
        <v>0.95</v>
      </c>
      <c r="H30" s="121">
        <f t="shared" si="0"/>
        <v>0.93681894273591571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" t="s">
        <v>12</v>
      </c>
      <c r="Z30" s="1" t="s">
        <v>13</v>
      </c>
      <c r="AA30" s="1" t="s">
        <v>14</v>
      </c>
      <c r="AB30" s="1" t="s">
        <v>15</v>
      </c>
      <c r="AC30" s="5" t="s">
        <v>16</v>
      </c>
      <c r="AD30" s="5"/>
      <c r="AE30" s="5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5.75" x14ac:dyDescent="0.25">
      <c r="A31" s="33" t="s">
        <v>17</v>
      </c>
      <c r="B31" s="33" t="s">
        <v>18</v>
      </c>
      <c r="C31" s="33" t="s">
        <v>19</v>
      </c>
      <c r="D31" s="33" t="s">
        <v>20</v>
      </c>
      <c r="E31" s="34">
        <v>10</v>
      </c>
      <c r="F31" s="34">
        <v>25</v>
      </c>
      <c r="G31" s="34">
        <v>50</v>
      </c>
      <c r="H31" s="34">
        <v>100</v>
      </c>
      <c r="I31" s="34" t="s">
        <v>21</v>
      </c>
      <c r="J31" s="34" t="s">
        <v>122</v>
      </c>
      <c r="K31" s="34" t="s">
        <v>22</v>
      </c>
      <c r="L31" s="34" t="s">
        <v>23</v>
      </c>
      <c r="M31" s="34" t="s">
        <v>24</v>
      </c>
      <c r="N31" s="34" t="s">
        <v>25</v>
      </c>
      <c r="O31" s="34" t="s">
        <v>26</v>
      </c>
      <c r="P31" s="34" t="s">
        <v>27</v>
      </c>
      <c r="Q31" s="34" t="s">
        <v>28</v>
      </c>
      <c r="R31" s="34" t="s">
        <v>29</v>
      </c>
      <c r="S31" s="34" t="s">
        <v>30</v>
      </c>
      <c r="T31" s="34" t="s">
        <v>31</v>
      </c>
      <c r="U31" s="34" t="s">
        <v>32</v>
      </c>
      <c r="V31" s="34" t="s">
        <v>33</v>
      </c>
      <c r="W31" s="35" t="s">
        <v>34</v>
      </c>
      <c r="X31" s="35" t="s">
        <v>35</v>
      </c>
      <c r="Y31" s="1"/>
      <c r="Z31" s="1"/>
      <c r="AA31" s="1"/>
      <c r="AB31" s="1"/>
      <c r="AC31" s="5" t="s">
        <v>36</v>
      </c>
      <c r="AD31" s="5">
        <v>0</v>
      </c>
      <c r="AE31" s="5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5.75" x14ac:dyDescent="0.25">
      <c r="A32" s="36"/>
      <c r="B32" s="37"/>
      <c r="C32" s="36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  <c r="U32" s="39"/>
      <c r="V32" s="39"/>
      <c r="W32" s="40"/>
      <c r="X32" s="40"/>
      <c r="Y32" s="1"/>
      <c r="Z32" s="1"/>
      <c r="AA32" s="1"/>
      <c r="AB32" s="1"/>
      <c r="AC32" s="5" t="s">
        <v>37</v>
      </c>
      <c r="AD32" s="5">
        <v>15</v>
      </c>
      <c r="AE32" s="5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5.75" x14ac:dyDescent="0.25">
      <c r="A33" s="21" t="s">
        <v>38</v>
      </c>
      <c r="B33" s="14"/>
      <c r="C33" s="41"/>
      <c r="D33" s="41"/>
      <c r="E33" s="42"/>
      <c r="F33" s="42"/>
      <c r="G33" s="42"/>
      <c r="H33" s="42"/>
      <c r="I33" s="21"/>
      <c r="J33" s="21"/>
      <c r="K33" s="21"/>
      <c r="L33" s="15"/>
      <c r="M33" s="15"/>
      <c r="N33" s="15"/>
      <c r="O33" s="15"/>
      <c r="P33" s="15"/>
      <c r="Q33" s="15"/>
      <c r="S33" s="15"/>
      <c r="T33" s="15"/>
      <c r="U33" s="15"/>
      <c r="V33" s="15"/>
      <c r="W33" s="15"/>
      <c r="X33" s="15"/>
      <c r="Y33" s="1"/>
      <c r="Z33" s="1"/>
      <c r="AA33" s="1"/>
      <c r="AB33" s="1"/>
      <c r="AC33" s="5" t="s">
        <v>43</v>
      </c>
      <c r="AD33" s="5"/>
      <c r="AE33" s="5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5.75" hidden="1" customHeight="1" x14ac:dyDescent="0.25">
      <c r="A34" s="43" t="s">
        <v>39</v>
      </c>
      <c r="B34" s="44" t="s">
        <v>147</v>
      </c>
      <c r="C34" s="50" t="s">
        <v>41</v>
      </c>
      <c r="D34" s="44" t="s">
        <v>42</v>
      </c>
      <c r="E34" s="45">
        <v>38.49</v>
      </c>
      <c r="F34" s="45">
        <v>32.49</v>
      </c>
      <c r="G34" s="45">
        <v>29.49</v>
      </c>
      <c r="H34" s="45">
        <v>27.99</v>
      </c>
      <c r="I34" s="46">
        <f>SUM(J34:V34)</f>
        <v>0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5" t="str">
        <f>IF(I34&lt;10,"mindestens 10 von diesem Artikel",(Y34+IF(I34&lt;25,E34,IF(I34&lt;50,F34,IF(I34&lt;100,G34,H34))))/$C$27/$A$27)</f>
        <v>mindestens 10 von diesem Artikel</v>
      </c>
      <c r="X34" s="45" t="str">
        <f>IF($C$26&lt;20,"20 Oberteile!",IF(I34&lt;10,"10 von einer Sorte",W34*I34))</f>
        <v>20 Oberteile!</v>
      </c>
      <c r="Y34" s="6">
        <f>SUM(Z34:AB34)</f>
        <v>1.99</v>
      </c>
      <c r="Z34" s="6">
        <f>VLOOKUP(C34,$AC$43:$AD$46,2,FALSE)</f>
        <v>0</v>
      </c>
      <c r="AA34" s="6">
        <f>VLOOKUP(B34,$AC$39:$AD$40,2,FALSE)</f>
        <v>1.99</v>
      </c>
      <c r="AB34" s="6">
        <f>VLOOKUP(D34,$AC$69:$AD$70,2,FALSE)</f>
        <v>0</v>
      </c>
      <c r="AC34" s="5" t="s">
        <v>40</v>
      </c>
      <c r="AD34" s="5">
        <v>0</v>
      </c>
      <c r="AE34" s="5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5.75" hidden="1" customHeight="1" x14ac:dyDescent="0.25">
      <c r="A35" s="43" t="s">
        <v>39</v>
      </c>
      <c r="B35" s="44" t="s">
        <v>147</v>
      </c>
      <c r="C35" s="50" t="s">
        <v>41</v>
      </c>
      <c r="D35" s="44" t="s">
        <v>42</v>
      </c>
      <c r="E35" s="45">
        <f>E34</f>
        <v>38.49</v>
      </c>
      <c r="F35" s="45">
        <f t="shared" ref="F35:H36" si="1">F34</f>
        <v>32.49</v>
      </c>
      <c r="G35" s="45">
        <f t="shared" si="1"/>
        <v>29.49</v>
      </c>
      <c r="H35" s="45">
        <f t="shared" si="1"/>
        <v>27.99</v>
      </c>
      <c r="I35" s="46">
        <f>SUM(J35:V35)</f>
        <v>0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5" t="str">
        <f>IF(I35&lt;10,"mindestens 10 von diesem Artikel",(Y35+IF(I35&lt;25,E35,IF(I35&lt;50,F35,IF(I35&lt;100,G35,H35))))/$C$27/$A$27)</f>
        <v>mindestens 10 von diesem Artikel</v>
      </c>
      <c r="X35" s="45" t="str">
        <f>IF($C$26&lt;20,"20 Oberteile!",IF(I35&lt;10,"10 von einer Sorte",W35*I35))</f>
        <v>20 Oberteile!</v>
      </c>
      <c r="Y35" s="6">
        <f>SUM(Z35:AB35)</f>
        <v>1.99</v>
      </c>
      <c r="Z35" s="6">
        <f>VLOOKUP(C35,$AC$43:$AD$46,2,FALSE)</f>
        <v>0</v>
      </c>
      <c r="AA35" s="6">
        <f>VLOOKUP(B35,$AC$39:$AD$40,2,FALSE)</f>
        <v>1.99</v>
      </c>
      <c r="AB35" s="6">
        <f>VLOOKUP(D35,$AC$69:$AD$70,2,FALSE)</f>
        <v>0</v>
      </c>
      <c r="AC35" s="5" t="s">
        <v>147</v>
      </c>
      <c r="AD35" s="5">
        <v>0</v>
      </c>
      <c r="AE35" s="5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5.75" hidden="1" customHeight="1" x14ac:dyDescent="0.25">
      <c r="A36" s="43" t="s">
        <v>39</v>
      </c>
      <c r="B36" s="44" t="s">
        <v>147</v>
      </c>
      <c r="C36" s="125" t="s">
        <v>41</v>
      </c>
      <c r="D36" s="44" t="s">
        <v>42</v>
      </c>
      <c r="E36" s="45">
        <f>E35</f>
        <v>38.49</v>
      </c>
      <c r="F36" s="45">
        <f t="shared" si="1"/>
        <v>32.49</v>
      </c>
      <c r="G36" s="45">
        <f t="shared" si="1"/>
        <v>29.49</v>
      </c>
      <c r="H36" s="45">
        <f t="shared" si="1"/>
        <v>27.99</v>
      </c>
      <c r="I36" s="46">
        <f>SUM(J36:V36)</f>
        <v>0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5" t="str">
        <f>IF(I36&lt;10,"mindestens 10 von diesem Artikel",(Y36+IF(I36&lt;25,E36,IF(I36&lt;50,F36,IF(I36&lt;100,G36,H36))))/$C$27/$A$27)</f>
        <v>mindestens 10 von diesem Artikel</v>
      </c>
      <c r="X36" s="45" t="str">
        <f>IF($C$26&lt;20,"20 Oberteile!",IF(I36&lt;10,"10 von einer Sorte",W36*I36))</f>
        <v>20 Oberteile!</v>
      </c>
      <c r="Y36" s="6">
        <f>SUM(Z36:AB36)</f>
        <v>1.99</v>
      </c>
      <c r="Z36" s="6">
        <f>VLOOKUP(C36,$AC$43:$AD$46,2,FALSE)</f>
        <v>0</v>
      </c>
      <c r="AA36" s="6">
        <f>VLOOKUP(B36,$AC$39:$AD$40,2,FALSE)</f>
        <v>1.99</v>
      </c>
      <c r="AB36" s="6">
        <f>VLOOKUP(D36,$AC$69:$AD$70,2,FALSE)</f>
        <v>0</v>
      </c>
      <c r="AC36" s="5" t="s">
        <v>163</v>
      </c>
      <c r="AD36" s="5">
        <v>0</v>
      </c>
      <c r="AE36" s="5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5.75" x14ac:dyDescent="0.25">
      <c r="A37" s="21"/>
      <c r="B37" s="14"/>
      <c r="C37" s="127"/>
      <c r="D37" s="41"/>
      <c r="E37" s="42"/>
      <c r="F37" s="42"/>
      <c r="G37" s="42"/>
      <c r="H37" s="42"/>
      <c r="I37" s="21"/>
      <c r="J37" s="15"/>
      <c r="K37" s="15"/>
      <c r="L37" s="15"/>
      <c r="M37" s="15"/>
      <c r="N37" s="15"/>
      <c r="O37" s="15"/>
      <c r="P37" s="15"/>
      <c r="Q37" s="15"/>
      <c r="S37" s="15"/>
      <c r="T37" s="15"/>
      <c r="U37" s="15"/>
      <c r="V37" s="15"/>
      <c r="W37" s="15"/>
      <c r="X37" s="15"/>
      <c r="Y37" s="6"/>
      <c r="Z37" s="6"/>
      <c r="AA37" s="6"/>
      <c r="AB37" s="6"/>
      <c r="AC37" s="5" t="s">
        <v>146</v>
      </c>
      <c r="AD37" s="5">
        <v>0</v>
      </c>
      <c r="AE37" s="5"/>
      <c r="AF37" s="1"/>
      <c r="AG37" s="1"/>
      <c r="AH37" s="1"/>
      <c r="AI37" s="113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5.75" x14ac:dyDescent="0.25">
      <c r="A38" s="120" t="s">
        <v>45</v>
      </c>
      <c r="B38" s="44" t="s">
        <v>40</v>
      </c>
      <c r="C38" s="126" t="s">
        <v>41</v>
      </c>
      <c r="D38" s="44" t="s">
        <v>42</v>
      </c>
      <c r="E38" s="45">
        <v>41.49</v>
      </c>
      <c r="F38" s="45">
        <v>37.49</v>
      </c>
      <c r="G38" s="45">
        <v>35.99</v>
      </c>
      <c r="H38" s="45">
        <v>33.49</v>
      </c>
      <c r="I38" s="46">
        <f>SUM(J38:V38)</f>
        <v>0</v>
      </c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5" t="str">
        <f>IF(I38&lt;10,"mindestens 10 von diesem Artikel",(Y38+IF(I38&lt;25,E38,IF(I38&lt;50,F38,IF(I38&lt;100,G38,H38))))/$C$27/$A$27)</f>
        <v>mindestens 10 von diesem Artikel</v>
      </c>
      <c r="X38" s="45" t="str">
        <f>IF($C$26&lt;20,"20 Oberteile!",IF(I38&lt;10,"10 von einer Sorte",W38*I38))</f>
        <v>20 Oberteile!</v>
      </c>
      <c r="Y38" s="6">
        <f>SUM(Z38:AB38)</f>
        <v>0</v>
      </c>
      <c r="Z38" s="6">
        <f>VLOOKUP(C38,$AC$43:$AD$46,2,FALSE)</f>
        <v>0</v>
      </c>
      <c r="AA38" s="6">
        <f>VLOOKUP(B38,$AC$39:$AD$40,2,FALSE)</f>
        <v>0</v>
      </c>
      <c r="AB38" s="6">
        <f>VLOOKUP(D38,$AC$69:$AD$70,2,FALSE)</f>
        <v>0</v>
      </c>
      <c r="AC38" s="5" t="str">
        <f>AC35</f>
        <v>gewebter Abschluss *NEU*</v>
      </c>
      <c r="AD38" s="5">
        <v>0</v>
      </c>
      <c r="AE38" s="5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5.75" x14ac:dyDescent="0.25">
      <c r="A39" s="21"/>
      <c r="B39" s="14"/>
      <c r="C39" s="122"/>
      <c r="D39" s="41"/>
      <c r="E39" s="42"/>
      <c r="F39" s="42"/>
      <c r="G39" s="42"/>
      <c r="H39" s="42"/>
      <c r="I39" s="21"/>
      <c r="J39" s="15"/>
      <c r="K39" s="15"/>
      <c r="L39" s="15"/>
      <c r="M39" s="15"/>
      <c r="N39" s="15"/>
      <c r="O39" s="15"/>
      <c r="P39" s="15"/>
      <c r="Q39" s="15"/>
      <c r="S39" s="15"/>
      <c r="T39" s="15"/>
      <c r="U39" s="15"/>
      <c r="V39" s="15"/>
      <c r="W39" s="15"/>
      <c r="X39" s="15"/>
      <c r="Y39" s="6"/>
      <c r="Z39" s="6"/>
      <c r="AA39" s="6"/>
      <c r="AB39" s="6"/>
      <c r="AC39" s="5" t="s">
        <v>40</v>
      </c>
      <c r="AD39" s="5">
        <v>0</v>
      </c>
      <c r="AE39" s="5"/>
      <c r="AF39" s="1"/>
      <c r="AG39" s="1"/>
      <c r="AH39" s="1"/>
      <c r="AI39" s="113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5.75" x14ac:dyDescent="0.25">
      <c r="A40" s="120" t="s">
        <v>152</v>
      </c>
      <c r="B40" s="44" t="s">
        <v>147</v>
      </c>
      <c r="C40" s="50" t="s">
        <v>41</v>
      </c>
      <c r="D40" s="44" t="s">
        <v>42</v>
      </c>
      <c r="E40" s="45">
        <v>44.49</v>
      </c>
      <c r="F40" s="45">
        <v>40.49</v>
      </c>
      <c r="G40" s="45">
        <v>38.99</v>
      </c>
      <c r="H40" s="45">
        <v>36.49</v>
      </c>
      <c r="I40" s="46">
        <f>SUM(J40:V40)</f>
        <v>0</v>
      </c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5" t="str">
        <f>IF(I40&lt;10,"mindestens 10 von diesem Artikel",(Y40+IF(I40&lt;25,E40,IF(I40&lt;50,F40,IF(I40&lt;100,G40,H40))))/$C$27/$A$27)</f>
        <v>mindestens 10 von diesem Artikel</v>
      </c>
      <c r="X40" s="45" t="str">
        <f>IF($C$26&lt;20,"20 Oberteile!",IF(I40&lt;10,"10 von einer Sorte",W40*I40))</f>
        <v>20 Oberteile!</v>
      </c>
      <c r="Y40" s="6">
        <f>SUM(Z40:AB40)</f>
        <v>1.99</v>
      </c>
      <c r="Z40" s="6">
        <f>VLOOKUP(C40,$AC$43:$AD$46,2,FALSE)</f>
        <v>0</v>
      </c>
      <c r="AA40" s="6">
        <f>VLOOKUP(B40,$AC$39:$AD$40,2,FALSE)</f>
        <v>1.99</v>
      </c>
      <c r="AB40" s="6">
        <f>VLOOKUP(D40,$AC$69:$AD$70,2,FALSE)</f>
        <v>0</v>
      </c>
      <c r="AC40" s="5" t="s">
        <v>147</v>
      </c>
      <c r="AD40" s="5">
        <v>1.99</v>
      </c>
      <c r="AE40" s="5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5.75" x14ac:dyDescent="0.25">
      <c r="A41" s="21"/>
      <c r="B41" s="14"/>
      <c r="C41" s="122"/>
      <c r="D41" s="41"/>
      <c r="E41" s="42"/>
      <c r="F41" s="42"/>
      <c r="G41" s="42"/>
      <c r="H41" s="42"/>
      <c r="I41" s="21"/>
      <c r="J41" s="15"/>
      <c r="K41" s="15"/>
      <c r="L41" s="15"/>
      <c r="M41" s="15"/>
      <c r="N41" s="15"/>
      <c r="O41" s="15"/>
      <c r="P41" s="15"/>
      <c r="Q41" s="15"/>
      <c r="S41" s="15"/>
      <c r="T41" s="15"/>
      <c r="U41" s="15"/>
      <c r="V41" s="15"/>
      <c r="W41" s="15"/>
      <c r="X41" s="15"/>
      <c r="Y41" s="6"/>
      <c r="Z41" s="6"/>
      <c r="AA41" s="6"/>
      <c r="AB41" s="6"/>
      <c r="AC41" s="5"/>
      <c r="AD41" s="5"/>
      <c r="AE41" s="5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5.75" hidden="1" x14ac:dyDescent="0.25">
      <c r="A42" s="120" t="s">
        <v>46</v>
      </c>
      <c r="B42" s="44" t="s">
        <v>40</v>
      </c>
      <c r="C42" s="50" t="s">
        <v>41</v>
      </c>
      <c r="D42" s="44" t="s">
        <v>42</v>
      </c>
      <c r="E42" s="45">
        <v>51.49</v>
      </c>
      <c r="F42" s="45">
        <v>46.49</v>
      </c>
      <c r="G42" s="45">
        <v>44.49</v>
      </c>
      <c r="H42" s="45">
        <v>41.49</v>
      </c>
      <c r="I42" s="46">
        <f>SUM(J42:V42)</f>
        <v>0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5" t="str">
        <f>IF(I42&lt;10,"mindestens 10 von diesem Artikel",(Y42+IF(I42&lt;25,E42,IF(I42&lt;50,F42,IF(I42&lt;100,G42,H42))))/$C$27/$A$27)</f>
        <v>mindestens 10 von diesem Artikel</v>
      </c>
      <c r="X42" s="45" t="str">
        <f>IF($C$26&lt;10,"20 Oberteile!",IF(I42&lt;10,"10 von einer Sorte",W42*I42))</f>
        <v>10 von einer Sorte</v>
      </c>
      <c r="Y42" s="6">
        <f>SUM(Z42:AB42)</f>
        <v>0</v>
      </c>
      <c r="Z42" s="6">
        <f>VLOOKUP(C42,$AC$43:$AD$46,2,FALSE)</f>
        <v>0</v>
      </c>
      <c r="AA42" s="6">
        <f>VLOOKUP(B42,$AC$39:$AD$40,2,FALSE)</f>
        <v>0</v>
      </c>
      <c r="AB42" s="6">
        <f>VLOOKUP(D42,$AC$69:$AD$70,2,FALSE)</f>
        <v>0</v>
      </c>
      <c r="AC42" s="5" t="s">
        <v>47</v>
      </c>
      <c r="AD42" s="5"/>
      <c r="AE42" s="5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5.75" x14ac:dyDescent="0.25">
      <c r="A43" s="120" t="s">
        <v>154</v>
      </c>
      <c r="B43" s="44" t="s">
        <v>147</v>
      </c>
      <c r="C43" s="50" t="s">
        <v>41</v>
      </c>
      <c r="D43" s="44" t="s">
        <v>42</v>
      </c>
      <c r="E43" s="45">
        <v>53.49</v>
      </c>
      <c r="F43" s="45">
        <v>48.49</v>
      </c>
      <c r="G43" s="45">
        <v>46.49</v>
      </c>
      <c r="H43" s="45">
        <v>42.99</v>
      </c>
      <c r="I43" s="46">
        <f>SUM(J43:V43)</f>
        <v>0</v>
      </c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5" t="str">
        <f>IF(I43&lt;10,"mindestens 10 von diesem Artikel",(Y43+IF(I43&lt;25,E43,IF(I43&lt;50,F43,IF(I43&lt;100,G43,H43))))/$C$27/$A$27)</f>
        <v>mindestens 10 von diesem Artikel</v>
      </c>
      <c r="X43" s="45" t="str">
        <f>IF($C$26&lt;20,"20 Oberteile!",IF(I43&lt;10,"10 von einer Sorte",W43*I43))</f>
        <v>20 Oberteile!</v>
      </c>
      <c r="Y43" s="6">
        <f>SUM(Z43:AB43)</f>
        <v>1.99</v>
      </c>
      <c r="Z43" s="6">
        <f>VLOOKUP(C43,$AC$43:$AD$46,2,FALSE)</f>
        <v>0</v>
      </c>
      <c r="AA43" s="6">
        <f>VLOOKUP(B43,$AC$39:$AD$40,2,FALSE)</f>
        <v>1.99</v>
      </c>
      <c r="AB43" s="6">
        <f>VLOOKUP(D43,$AC$69:$AD$70,2,FALSE)</f>
        <v>0</v>
      </c>
      <c r="AC43" s="5" t="s">
        <v>11</v>
      </c>
      <c r="AD43" s="5">
        <v>0</v>
      </c>
      <c r="AE43" s="5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5.75" x14ac:dyDescent="0.25">
      <c r="A44" s="120" t="s">
        <v>161</v>
      </c>
      <c r="B44" s="44" t="s">
        <v>147</v>
      </c>
      <c r="C44" s="50" t="s">
        <v>41</v>
      </c>
      <c r="D44" s="44" t="s">
        <v>42</v>
      </c>
      <c r="E44" s="45">
        <v>74.489999999999995</v>
      </c>
      <c r="F44" s="45">
        <v>69.75</v>
      </c>
      <c r="G44" s="45">
        <v>67.989999999999995</v>
      </c>
      <c r="H44" s="45">
        <v>64.489999999999995</v>
      </c>
      <c r="I44" s="46">
        <f>SUM(J44:V44)</f>
        <v>0</v>
      </c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5" t="str">
        <f>IF(I44&lt;10,"mindestens 10 von diesem Artikel",(Y44+IF(I44&lt;25,E44,IF(I44&lt;50,F44,IF(I44&lt;100,G44,H44))))/$C$27/$A$27)</f>
        <v>mindestens 10 von diesem Artikel</v>
      </c>
      <c r="X44" s="45" t="str">
        <f>IF($C$26&lt;20,"20 Oberteile!",IF(I44&lt;10,"10 von einer Sorte",W44*I44))</f>
        <v>20 Oberteile!</v>
      </c>
      <c r="Y44" s="6">
        <f>SUM(Z44:AB44)</f>
        <v>1.99</v>
      </c>
      <c r="Z44" s="6">
        <f>VLOOKUP(C44,$AC$43:$AD$46,2,FALSE)</f>
        <v>0</v>
      </c>
      <c r="AA44" s="6">
        <f>VLOOKUP(B44,$AC$39:$AD$40,2,FALSE)</f>
        <v>1.99</v>
      </c>
      <c r="AB44" s="6">
        <f>VLOOKUP(D44,$AC$69:$AD$70,2,FALSE)</f>
        <v>0</v>
      </c>
      <c r="AC44" s="5" t="s">
        <v>44</v>
      </c>
      <c r="AD44" s="5"/>
      <c r="AE44" s="5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5.75" customHeight="1" x14ac:dyDescent="0.25">
      <c r="A45" s="21"/>
      <c r="B45" s="14"/>
      <c r="C45" s="122"/>
      <c r="D45" s="41"/>
      <c r="E45" s="42"/>
      <c r="F45" s="42"/>
      <c r="G45" s="42"/>
      <c r="H45" s="42"/>
      <c r="I45" s="21"/>
      <c r="J45" s="15"/>
      <c r="K45" s="15"/>
      <c r="L45" s="15"/>
      <c r="M45" s="15"/>
      <c r="N45" s="15"/>
      <c r="O45" s="15"/>
      <c r="P45" s="15"/>
      <c r="Q45" s="15"/>
      <c r="S45" s="15"/>
      <c r="T45" s="15"/>
      <c r="U45" s="15"/>
      <c r="V45" s="15"/>
      <c r="W45" s="15"/>
      <c r="X45" s="15"/>
      <c r="Y45" s="6"/>
      <c r="Z45" s="6"/>
      <c r="AA45" s="6"/>
      <c r="AB45" s="6"/>
      <c r="AC45" s="5" t="s">
        <v>48</v>
      </c>
      <c r="AD45" s="5"/>
      <c r="AE45" s="5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5.75" hidden="1" customHeight="1" x14ac:dyDescent="0.25">
      <c r="A46" s="43" t="s">
        <v>49</v>
      </c>
      <c r="B46" s="44" t="s">
        <v>40</v>
      </c>
      <c r="C46" s="50" t="s">
        <v>41</v>
      </c>
      <c r="D46" s="44" t="s">
        <v>42</v>
      </c>
      <c r="E46" s="42">
        <v>38.49</v>
      </c>
      <c r="F46" s="42">
        <v>34.49</v>
      </c>
      <c r="G46" s="42">
        <v>30.49</v>
      </c>
      <c r="H46" s="42">
        <v>29.49</v>
      </c>
      <c r="I46" s="46">
        <f>SUM(J46:V46)</f>
        <v>0</v>
      </c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5" t="str">
        <f>IF(I46&lt;10,"mindestens 10 von diesem Artikel",(Y46+IF(I46&lt;25,E46,IF(I46&lt;50,F46,IF(I46&lt;100,G46,H46))))/$C$27/$A$27)</f>
        <v>mindestens 10 von diesem Artikel</v>
      </c>
      <c r="X46" s="45" t="str">
        <f>IF($C$26&lt;20,"20 Oberteile!",IF(I46&lt;10,"10 von einer Sorte",W46*I46))</f>
        <v>20 Oberteile!</v>
      </c>
      <c r="Y46" s="6">
        <f>SUM(Z46:AB46)</f>
        <v>0</v>
      </c>
      <c r="Z46" s="6">
        <f>VLOOKUP(C46,$AC$43:$AD$46,2,FALSE)</f>
        <v>0</v>
      </c>
      <c r="AA46" s="6">
        <f>VLOOKUP(B46,$AC$39:$AD$40,2,FALSE)</f>
        <v>0</v>
      </c>
      <c r="AB46" s="6">
        <f>VLOOKUP(D46,$AC$69:$AD$70,2,FALSE)</f>
        <v>0</v>
      </c>
      <c r="AC46" s="5" t="s">
        <v>41</v>
      </c>
      <c r="AD46" s="5"/>
      <c r="AE46" s="8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5.75" hidden="1" customHeight="1" x14ac:dyDescent="0.25">
      <c r="A47" s="43" t="s">
        <v>49</v>
      </c>
      <c r="B47" s="44" t="s">
        <v>40</v>
      </c>
      <c r="C47" s="50" t="s">
        <v>41</v>
      </c>
      <c r="D47" s="44" t="s">
        <v>42</v>
      </c>
      <c r="E47" s="42">
        <f t="shared" ref="E47:H48" si="2">E46</f>
        <v>38.49</v>
      </c>
      <c r="F47" s="42">
        <f t="shared" si="2"/>
        <v>34.49</v>
      </c>
      <c r="G47" s="42">
        <f t="shared" si="2"/>
        <v>30.49</v>
      </c>
      <c r="H47" s="42">
        <f t="shared" si="2"/>
        <v>29.49</v>
      </c>
      <c r="I47" s="46">
        <f>SUM(J47:V47)</f>
        <v>0</v>
      </c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5" t="str">
        <f>IF(I47&lt;10,"mindestens 10 von diesem Artikel",(Y47+IF(I47&lt;25,E47,IF(I47&lt;50,F47,IF(I47&lt;100,G47,H47))))/$C$27/$A$27)</f>
        <v>mindestens 10 von diesem Artikel</v>
      </c>
      <c r="X47" s="45" t="str">
        <f>IF($C$26&lt;20,"20 Oberteile!",IF(I47&lt;10,"10 von einer Sorte",W47*I47))</f>
        <v>20 Oberteile!</v>
      </c>
      <c r="Y47" s="6">
        <f>SUM(Z47:AB47)</f>
        <v>0</v>
      </c>
      <c r="Z47" s="6">
        <f>VLOOKUP(C47,$AC$43:$AD$46,2,FALSE)</f>
        <v>0</v>
      </c>
      <c r="AA47" s="6">
        <f>VLOOKUP(B47,$AC$39:$AD$40,2,FALSE)</f>
        <v>0</v>
      </c>
      <c r="AB47" s="6">
        <f>VLOOKUP(D47,$AC$69:$AD$70,2,FALSE)</f>
        <v>0</v>
      </c>
      <c r="AC47" s="5"/>
      <c r="AD47" s="5"/>
      <c r="AE47" s="5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5.75" hidden="1" customHeight="1" x14ac:dyDescent="0.25">
      <c r="A48" s="43" t="s">
        <v>49</v>
      </c>
      <c r="B48" s="44" t="s">
        <v>40</v>
      </c>
      <c r="C48" s="50" t="s">
        <v>41</v>
      </c>
      <c r="D48" s="44" t="s">
        <v>42</v>
      </c>
      <c r="E48" s="42">
        <f t="shared" si="2"/>
        <v>38.49</v>
      </c>
      <c r="F48" s="42">
        <f t="shared" si="2"/>
        <v>34.49</v>
      </c>
      <c r="G48" s="42">
        <f t="shared" si="2"/>
        <v>30.49</v>
      </c>
      <c r="H48" s="42">
        <f t="shared" si="2"/>
        <v>29.49</v>
      </c>
      <c r="I48" s="46">
        <f>SUM(J48:V48)</f>
        <v>0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5" t="str">
        <f>IF(I48&lt;10,"mindestens 10 von diesem Artikel",(Y48+IF(I48&lt;25,E48,IF(I48&lt;50,F48,IF(I48&lt;100,G48,H48))))/$C$27/$A$27)</f>
        <v>mindestens 10 von diesem Artikel</v>
      </c>
      <c r="X48" s="45" t="str">
        <f>IF($C$26&lt;20,"20 Oberteile!",IF(I48&lt;10,"10 von einer Sorte",W48*I48))</f>
        <v>20 Oberteile!</v>
      </c>
      <c r="Y48" s="6">
        <f>SUM(Z48:AB48)</f>
        <v>0</v>
      </c>
      <c r="Z48" s="6">
        <f>VLOOKUP(C48,$AC$43:$AD$46,2,FALSE)</f>
        <v>0</v>
      </c>
      <c r="AA48" s="6">
        <f>VLOOKUP(B48,$AC$39:$AD$40,2,FALSE)</f>
        <v>0</v>
      </c>
      <c r="AB48" s="6">
        <f>VLOOKUP(D48,$AC$69:$AD$70,2,FALSE)</f>
        <v>0</v>
      </c>
      <c r="AC48" s="5" t="s">
        <v>50</v>
      </c>
      <c r="AD48" s="5"/>
      <c r="AE48" s="5" t="s">
        <v>51</v>
      </c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5.75" hidden="1" x14ac:dyDescent="0.25">
      <c r="A49" s="21"/>
      <c r="B49" s="14"/>
      <c r="C49" s="122"/>
      <c r="D49" s="41"/>
      <c r="E49" s="42"/>
      <c r="F49" s="42"/>
      <c r="G49" s="42"/>
      <c r="H49" s="42"/>
      <c r="I49" s="21"/>
      <c r="J49" s="15"/>
      <c r="K49" s="15"/>
      <c r="L49" s="15"/>
      <c r="M49" s="15"/>
      <c r="N49" s="15"/>
      <c r="O49" s="15"/>
      <c r="P49" s="15"/>
      <c r="Q49" s="15"/>
      <c r="S49" s="15"/>
      <c r="T49" s="15"/>
      <c r="U49" s="15"/>
      <c r="V49" s="15"/>
      <c r="W49" s="15"/>
      <c r="X49" s="15"/>
      <c r="Y49" s="6"/>
      <c r="Z49" s="6"/>
      <c r="AA49" s="6"/>
      <c r="AB49" s="6"/>
      <c r="AC49" s="5" t="s">
        <v>52</v>
      </c>
      <c r="AD49" s="5">
        <v>-3.99</v>
      </c>
      <c r="AE49" s="5">
        <v>0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5.75" hidden="1" x14ac:dyDescent="0.25">
      <c r="A50" s="43" t="s">
        <v>53</v>
      </c>
      <c r="B50" s="44" t="s">
        <v>40</v>
      </c>
      <c r="C50" s="50" t="s">
        <v>41</v>
      </c>
      <c r="D50" s="44" t="s">
        <v>42</v>
      </c>
      <c r="E50" s="42">
        <f>E38</f>
        <v>41.49</v>
      </c>
      <c r="F50" s="42">
        <f>F38</f>
        <v>37.49</v>
      </c>
      <c r="G50" s="42">
        <f>G38</f>
        <v>35.99</v>
      </c>
      <c r="H50" s="42">
        <f>H38</f>
        <v>33.49</v>
      </c>
      <c r="I50" s="46">
        <f>SUM(J50:V50)</f>
        <v>0</v>
      </c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5" t="str">
        <f>IF(I50&lt;10,"mindestens 10 von diesem Artikel",(Y50+IF(I50&lt;25,E50,IF(I50&lt;50,F50,IF(I50&lt;100,G50,H50))))/$C$27/$A$27)</f>
        <v>mindestens 10 von diesem Artikel</v>
      </c>
      <c r="X50" s="45" t="str">
        <f>IF($C$26&lt;20,"20 Oberteile!",IF(I50&lt;10,"10 von einer Sorte",W50*I50))</f>
        <v>20 Oberteile!</v>
      </c>
      <c r="Y50" s="6">
        <f>SUM(Z50:AB50)</f>
        <v>0</v>
      </c>
      <c r="Z50" s="6">
        <f>VLOOKUP(C50,$AC$43:$AD$46,2,FALSE)</f>
        <v>0</v>
      </c>
      <c r="AA50" s="6">
        <f>VLOOKUP(B50,$AC$39:$AD$40,2,FALSE)</f>
        <v>0</v>
      </c>
      <c r="AB50" s="6">
        <f>VLOOKUP(D50,$AC$69:$AD$70,2,FALSE)</f>
        <v>0</v>
      </c>
      <c r="AC50" s="5" t="s">
        <v>143</v>
      </c>
      <c r="AD50" s="5">
        <v>0</v>
      </c>
      <c r="AE50" s="5">
        <f t="shared" ref="AE50:AE63" si="3">AD50+3.99</f>
        <v>3.99</v>
      </c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5.75" customHeight="1" x14ac:dyDescent="0.25">
      <c r="A51" s="43" t="s">
        <v>53</v>
      </c>
      <c r="B51" s="44" t="s">
        <v>147</v>
      </c>
      <c r="C51" s="50" t="s">
        <v>41</v>
      </c>
      <c r="D51" s="44" t="s">
        <v>42</v>
      </c>
      <c r="E51" s="42">
        <f t="shared" ref="E51:H52" si="4">E50</f>
        <v>41.49</v>
      </c>
      <c r="F51" s="42">
        <f t="shared" si="4"/>
        <v>37.49</v>
      </c>
      <c r="G51" s="42">
        <f t="shared" si="4"/>
        <v>35.99</v>
      </c>
      <c r="H51" s="42">
        <f t="shared" si="4"/>
        <v>33.49</v>
      </c>
      <c r="I51" s="46">
        <f>SUM(J51:V51)</f>
        <v>0</v>
      </c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5" t="str">
        <f>IF(I51&lt;10,"mindestens 10 von diesem Artikel",(Y51+IF(I51&lt;25,E51,IF(I51&lt;50,F51,IF(I51&lt;100,G51,H51))))/$C$27/$A$27)</f>
        <v>mindestens 10 von diesem Artikel</v>
      </c>
      <c r="X51" s="45" t="str">
        <f>IF($C$26&lt;20,"20 Oberteile!",IF(I51&lt;10,"10 von einer Sorte",W51*I51))</f>
        <v>20 Oberteile!</v>
      </c>
      <c r="Y51" s="6">
        <f>SUM(Z51:AB51)</f>
        <v>1.99</v>
      </c>
      <c r="Z51" s="6">
        <f>VLOOKUP(C51,$AC$43:$AD$46,2,FALSE)</f>
        <v>0</v>
      </c>
      <c r="AA51" s="6">
        <f>VLOOKUP(B51,$AC$39:$AD$40,2,FALSE)</f>
        <v>1.99</v>
      </c>
      <c r="AB51" s="6">
        <f>VLOOKUP(D51,$AC$69:$AD$70,2,FALSE)</f>
        <v>0</v>
      </c>
      <c r="AC51" s="5" t="s">
        <v>144</v>
      </c>
      <c r="AD51" s="5">
        <v>0</v>
      </c>
      <c r="AE51" s="5">
        <f t="shared" si="3"/>
        <v>3.99</v>
      </c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5.75" hidden="1" customHeight="1" x14ac:dyDescent="0.25">
      <c r="A52" s="43" t="s">
        <v>53</v>
      </c>
      <c r="B52" s="44" t="s">
        <v>40</v>
      </c>
      <c r="C52" s="122" t="s">
        <v>41</v>
      </c>
      <c r="D52" s="44" t="s">
        <v>42</v>
      </c>
      <c r="E52" s="42">
        <f t="shared" si="4"/>
        <v>41.49</v>
      </c>
      <c r="F52" s="42">
        <f t="shared" si="4"/>
        <v>37.49</v>
      </c>
      <c r="G52" s="42">
        <f t="shared" si="4"/>
        <v>35.99</v>
      </c>
      <c r="H52" s="42">
        <f t="shared" si="4"/>
        <v>33.49</v>
      </c>
      <c r="I52" s="46">
        <f>SUM(J52:V52)</f>
        <v>0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5" t="str">
        <f>IF(I52&lt;10,"mindestens 10 von diesem Artikel",(Y52+IF(I52&lt;25,E52,IF(I52&lt;50,F52,IF(I52&lt;100,G52,H52))))/$C$27/$A$27)</f>
        <v>mindestens 10 von diesem Artikel</v>
      </c>
      <c r="X52" s="45" t="str">
        <f>IF($C$26&lt;20,"20 Oberteile!",IF(I52&lt;10,"10 von einer Sorte",W52*I52))</f>
        <v>20 Oberteile!</v>
      </c>
      <c r="Y52" s="6">
        <f>SUM(Z52:AB52)</f>
        <v>0</v>
      </c>
      <c r="Z52" s="6">
        <f>VLOOKUP(C52,$AC$43:$AD$46,2,FALSE)</f>
        <v>0</v>
      </c>
      <c r="AA52" s="6">
        <f>VLOOKUP(B52,$AC$39:$AD$40,2,FALSE)</f>
        <v>0</v>
      </c>
      <c r="AB52" s="6">
        <f>VLOOKUP(D52,$AC$69:$AD$70,2,FALSE)</f>
        <v>0</v>
      </c>
      <c r="AC52" s="5" t="s">
        <v>54</v>
      </c>
      <c r="AD52" s="5">
        <v>5.99</v>
      </c>
      <c r="AE52" s="5">
        <f t="shared" si="3"/>
        <v>9.98</v>
      </c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5.75" hidden="1" x14ac:dyDescent="0.25">
      <c r="A53" s="21"/>
      <c r="B53" s="14"/>
      <c r="C53" s="122"/>
      <c r="D53" s="41"/>
      <c r="E53" s="42"/>
      <c r="F53" s="42"/>
      <c r="G53" s="42"/>
      <c r="H53" s="42"/>
      <c r="I53" s="21"/>
      <c r="J53" s="15"/>
      <c r="K53" s="15"/>
      <c r="L53" s="15"/>
      <c r="M53" s="15"/>
      <c r="N53" s="15"/>
      <c r="O53" s="15"/>
      <c r="P53" s="15"/>
      <c r="Q53" s="15"/>
      <c r="S53" s="15"/>
      <c r="T53" s="15"/>
      <c r="U53" s="15"/>
      <c r="V53" s="15"/>
      <c r="W53" s="15"/>
      <c r="X53" s="15"/>
      <c r="Y53" s="6"/>
      <c r="Z53" s="6"/>
      <c r="AA53" s="6"/>
      <c r="AB53" s="6"/>
      <c r="AC53" s="5" t="s">
        <v>52</v>
      </c>
      <c r="AD53" s="5">
        <v>-3.99</v>
      </c>
      <c r="AE53" s="5">
        <v>0</v>
      </c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5.75" x14ac:dyDescent="0.25">
      <c r="A54" s="120" t="s">
        <v>153</v>
      </c>
      <c r="B54" s="44" t="s">
        <v>147</v>
      </c>
      <c r="C54" s="50" t="s">
        <v>41</v>
      </c>
      <c r="D54" s="44" t="s">
        <v>42</v>
      </c>
      <c r="E54" s="45">
        <v>53.49</v>
      </c>
      <c r="F54" s="45">
        <v>48.49</v>
      </c>
      <c r="G54" s="45">
        <v>46.49</v>
      </c>
      <c r="H54" s="45">
        <v>42.99</v>
      </c>
      <c r="I54" s="46">
        <f>SUM(J54:V54)</f>
        <v>0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5" t="str">
        <f>IF(I54&lt;10,"mindestens 10 von diesem Artikel",(Y54+IF(I54&lt;25,E54,IF(I54&lt;50,F54,IF(I54&lt;100,G54,H54))))/$C$27/$A$27)</f>
        <v>mindestens 10 von diesem Artikel</v>
      </c>
      <c r="X54" s="45" t="str">
        <f>IF($C$26&lt;20,"20 Oberteile!",IF(I54&lt;10,"10 von einer Sorte",W54*I54))</f>
        <v>20 Oberteile!</v>
      </c>
      <c r="Y54" s="6">
        <f>SUM(Z54:AB54)</f>
        <v>1.99</v>
      </c>
      <c r="Z54" s="6">
        <f>VLOOKUP(C54,$AC$43:$AD$46,2,FALSE)</f>
        <v>0</v>
      </c>
      <c r="AA54" s="6">
        <f>VLOOKUP(B54,$AC$39:$AD$40,2,FALSE)</f>
        <v>1.99</v>
      </c>
      <c r="AB54" s="6">
        <f>VLOOKUP(D54,$AC$69:$AD$70,2,FALSE)</f>
        <v>0</v>
      </c>
      <c r="AC54" s="5" t="s">
        <v>143</v>
      </c>
      <c r="AD54" s="5">
        <v>0</v>
      </c>
      <c r="AE54" s="5">
        <f>AD54+3.99</f>
        <v>3.99</v>
      </c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5.75" hidden="1" customHeight="1" x14ac:dyDescent="0.25">
      <c r="A55" s="43" t="s">
        <v>125</v>
      </c>
      <c r="B55" s="44" t="s">
        <v>40</v>
      </c>
      <c r="C55" s="50" t="s">
        <v>41</v>
      </c>
      <c r="D55" s="44" t="s">
        <v>42</v>
      </c>
      <c r="E55" s="45">
        <v>51.48</v>
      </c>
      <c r="F55" s="45">
        <f>E55*F54/E54</f>
        <v>46.667885586090854</v>
      </c>
      <c r="G55" s="45">
        <f t="shared" ref="G55" si="5">F55*G54/F54</f>
        <v>44.743039820527201</v>
      </c>
      <c r="H55" s="45">
        <f t="shared" ref="H55" si="6">G55*H54/G54</f>
        <v>41.3745597307908</v>
      </c>
      <c r="I55" s="46">
        <f>SUM(J55:V55)</f>
        <v>0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5" t="str">
        <f>IF(I55&lt;10,"mindestens 10 von diesem Artikel",(Y55+IF(I55&lt;25,E55,IF(I55&lt;50,F55,IF(I55&lt;100,G55,H55))))/$C$27/$A$27)</f>
        <v>mindestens 10 von diesem Artikel</v>
      </c>
      <c r="X55" s="45" t="str">
        <f>IF($C$26&lt;20,"20 Oberteile!",IF(I55&lt;10,"10 von einer Sorte",W55*I55))</f>
        <v>20 Oberteile!</v>
      </c>
      <c r="Y55" s="6">
        <f>SUM(Z55:AB55)</f>
        <v>0</v>
      </c>
      <c r="Z55" s="6">
        <f>VLOOKUP(C55,$AC$43:$AD$46,2,FALSE)</f>
        <v>0</v>
      </c>
      <c r="AA55" s="6">
        <f>VLOOKUP(B55,$AC$39:$AD$40,2,FALSE)</f>
        <v>0</v>
      </c>
      <c r="AB55" s="6">
        <f>VLOOKUP(D55,$AC$69:$AD$70,2,FALSE)</f>
        <v>0</v>
      </c>
      <c r="AC55" s="5" t="s">
        <v>144</v>
      </c>
      <c r="AD55" s="5">
        <v>0</v>
      </c>
      <c r="AE55" s="5">
        <f>AD55+3.99</f>
        <v>3.99</v>
      </c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5.75" hidden="1" customHeight="1" x14ac:dyDescent="0.25">
      <c r="A56" s="43" t="s">
        <v>125</v>
      </c>
      <c r="B56" s="44" t="s">
        <v>40</v>
      </c>
      <c r="C56" s="122" t="s">
        <v>41</v>
      </c>
      <c r="D56" s="44" t="s">
        <v>42</v>
      </c>
      <c r="E56" s="42">
        <f t="shared" ref="E56:H56" si="7">E55</f>
        <v>51.48</v>
      </c>
      <c r="F56" s="42">
        <f t="shared" si="7"/>
        <v>46.667885586090854</v>
      </c>
      <c r="G56" s="42">
        <f t="shared" si="7"/>
        <v>44.743039820527201</v>
      </c>
      <c r="H56" s="42">
        <f t="shared" si="7"/>
        <v>41.3745597307908</v>
      </c>
      <c r="I56" s="46">
        <f>SUM(J56:V56)</f>
        <v>0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5" t="str">
        <f>IF(I56&lt;10,"mindestens 10 von diesem Artikel",(Y56+IF(I56&lt;25,E56,IF(I56&lt;50,F56,IF(I56&lt;100,G56,H56))))/$C$27/$A$27)</f>
        <v>mindestens 10 von diesem Artikel</v>
      </c>
      <c r="X56" s="45" t="str">
        <f>IF($C$26&lt;20,"20 Oberteile!",IF(I56&lt;10,"10 von einer Sorte",W56*I56))</f>
        <v>20 Oberteile!</v>
      </c>
      <c r="Y56" s="6">
        <f>SUM(Z56:AB56)</f>
        <v>0</v>
      </c>
      <c r="Z56" s="6">
        <f>VLOOKUP(C56,$AC$43:$AD$46,2,FALSE)</f>
        <v>0</v>
      </c>
      <c r="AA56" s="6">
        <f>VLOOKUP(B56,$AC$39:$AD$40,2,FALSE)</f>
        <v>0</v>
      </c>
      <c r="AB56" s="6">
        <f>VLOOKUP(D56,$AC$69:$AD$70,2,FALSE)</f>
        <v>0</v>
      </c>
      <c r="AC56" s="5" t="s">
        <v>54</v>
      </c>
      <c r="AD56" s="5">
        <v>5.99</v>
      </c>
      <c r="AE56" s="5">
        <f>AD56+3.99</f>
        <v>9.98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5.75" x14ac:dyDescent="0.25">
      <c r="A57" s="21"/>
      <c r="B57" s="14"/>
      <c r="C57" s="41"/>
      <c r="D57" s="41"/>
      <c r="E57" s="42"/>
      <c r="F57" s="42"/>
      <c r="G57" s="42"/>
      <c r="H57" s="42"/>
      <c r="I57" s="21"/>
      <c r="J57" s="21"/>
      <c r="K57" s="21"/>
      <c r="L57" s="15"/>
      <c r="M57" s="15"/>
      <c r="N57" s="15"/>
      <c r="O57" s="15"/>
      <c r="P57" s="15"/>
      <c r="Q57" s="15"/>
      <c r="S57" s="15"/>
      <c r="T57" s="15"/>
      <c r="U57" s="15"/>
      <c r="V57" s="15"/>
      <c r="W57" s="15"/>
      <c r="X57" s="15"/>
      <c r="Y57" s="6">
        <f>SUM(Z57:AB57)</f>
        <v>0</v>
      </c>
      <c r="Z57" s="6"/>
      <c r="AA57" s="6"/>
      <c r="AB57" s="6"/>
      <c r="AC57" s="9" t="s">
        <v>55</v>
      </c>
      <c r="AD57" s="5">
        <v>19.989999999999998</v>
      </c>
      <c r="AE57" s="5">
        <f t="shared" si="3"/>
        <v>23.979999999999997</v>
      </c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5.75" x14ac:dyDescent="0.25">
      <c r="A58" s="33" t="s">
        <v>17</v>
      </c>
      <c r="B58" s="33" t="s">
        <v>18</v>
      </c>
      <c r="C58" s="33" t="s">
        <v>19</v>
      </c>
      <c r="D58" s="33" t="s">
        <v>20</v>
      </c>
      <c r="E58" s="34">
        <v>10</v>
      </c>
      <c r="F58" s="34">
        <v>25</v>
      </c>
      <c r="G58" s="34">
        <v>50</v>
      </c>
      <c r="H58" s="34">
        <v>100</v>
      </c>
      <c r="I58" s="34" t="s">
        <v>21</v>
      </c>
      <c r="J58" s="34" t="s">
        <v>122</v>
      </c>
      <c r="K58" s="34" t="s">
        <v>22</v>
      </c>
      <c r="L58" s="34" t="s">
        <v>23</v>
      </c>
      <c r="M58" s="34" t="s">
        <v>24</v>
      </c>
      <c r="N58" s="34" t="s">
        <v>25</v>
      </c>
      <c r="O58" s="34" t="s">
        <v>26</v>
      </c>
      <c r="P58" s="34" t="s">
        <v>27</v>
      </c>
      <c r="Q58" s="34" t="s">
        <v>28</v>
      </c>
      <c r="R58" s="34" t="s">
        <v>29</v>
      </c>
      <c r="S58" s="34" t="s">
        <v>30</v>
      </c>
      <c r="T58" s="48" t="s">
        <v>56</v>
      </c>
      <c r="U58" s="34" t="s">
        <v>32</v>
      </c>
      <c r="V58" s="34" t="s">
        <v>33</v>
      </c>
      <c r="W58" s="35" t="s">
        <v>34</v>
      </c>
      <c r="X58" s="35" t="s">
        <v>35</v>
      </c>
      <c r="Y58" s="6"/>
      <c r="Z58" s="6"/>
      <c r="AA58" s="6"/>
      <c r="AB58" s="6"/>
      <c r="AC58" s="9" t="s">
        <v>57</v>
      </c>
      <c r="AD58" s="5">
        <v>5.99</v>
      </c>
      <c r="AE58" s="5">
        <f t="shared" si="3"/>
        <v>9.98</v>
      </c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5.75" x14ac:dyDescent="0.25">
      <c r="A59" s="36"/>
      <c r="B59" s="37"/>
      <c r="C59" s="36"/>
      <c r="D59" s="36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9"/>
      <c r="U59" s="39"/>
      <c r="V59" s="39"/>
      <c r="W59" s="40"/>
      <c r="X59" s="40"/>
      <c r="Y59" s="6"/>
      <c r="Z59" s="6"/>
      <c r="AA59" s="6"/>
      <c r="AB59" s="6"/>
      <c r="AC59" s="5" t="s">
        <v>133</v>
      </c>
      <c r="AD59" s="5">
        <v>17.989999999999998</v>
      </c>
      <c r="AE59" s="5">
        <f t="shared" si="3"/>
        <v>21.979999999999997</v>
      </c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3.5" customHeight="1" x14ac:dyDescent="0.25">
      <c r="A60" s="21" t="s">
        <v>58</v>
      </c>
      <c r="B60" s="14"/>
      <c r="C60" s="21"/>
      <c r="D60" s="21"/>
      <c r="E60" s="42"/>
      <c r="F60" s="42"/>
      <c r="G60" s="42"/>
      <c r="H60" s="42"/>
      <c r="I60" s="21"/>
      <c r="J60" s="21"/>
      <c r="K60" s="15"/>
      <c r="L60" s="15"/>
      <c r="M60" s="15"/>
      <c r="N60" s="15"/>
      <c r="O60" s="15"/>
      <c r="P60" s="15"/>
      <c r="Q60" s="15"/>
      <c r="S60" s="15"/>
      <c r="T60" s="15"/>
      <c r="U60" s="15"/>
      <c r="V60" s="15"/>
      <c r="W60" s="15"/>
      <c r="X60" s="15"/>
      <c r="Y60" s="6"/>
      <c r="Z60" s="6"/>
      <c r="AA60" s="6"/>
      <c r="AB60" s="6"/>
      <c r="AC60" s="5" t="s">
        <v>134</v>
      </c>
      <c r="AD60" s="5">
        <v>7.99</v>
      </c>
      <c r="AE60" s="5">
        <f t="shared" si="3"/>
        <v>11.98</v>
      </c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5.75" x14ac:dyDescent="0.25">
      <c r="A61" s="43" t="s">
        <v>59</v>
      </c>
      <c r="B61" s="44" t="s">
        <v>147</v>
      </c>
      <c r="C61" s="50" t="s">
        <v>41</v>
      </c>
      <c r="D61" s="44" t="s">
        <v>42</v>
      </c>
      <c r="E61" s="42">
        <v>46.49</v>
      </c>
      <c r="F61" s="45">
        <v>41.99</v>
      </c>
      <c r="G61" s="45">
        <v>39.99</v>
      </c>
      <c r="H61" s="45">
        <v>37.49</v>
      </c>
      <c r="I61" s="46">
        <f>SUM(J61:V61)</f>
        <v>0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5" t="str">
        <f>IF(I61&lt;10,"mindestens 10 von diesem Artikel",(Y61+IF(I61&lt;25,E61,IF(I61&lt;50,F61,IF(I61&lt;100,G61,H61))))/$C$27/$A$27)</f>
        <v>mindestens 10 von diesem Artikel</v>
      </c>
      <c r="X61" s="45" t="str">
        <f>IF($C$26&lt;20,"20 Oberteile!",IF(I61&lt;10,"10 von einer Sorte",W61*I61))</f>
        <v>20 Oberteile!</v>
      </c>
      <c r="Y61" s="6">
        <f>SUM(Z61:AB61)</f>
        <v>1.99</v>
      </c>
      <c r="Z61" s="6"/>
      <c r="AA61" s="6">
        <f>VLOOKUP(B61,$AC$39:$AD$40,2,FALSE)</f>
        <v>1.99</v>
      </c>
      <c r="AB61" s="6">
        <f>VLOOKUP(D61,$AC$69:$AD$70,2,FALSE)</f>
        <v>0</v>
      </c>
      <c r="AC61" s="5" t="s">
        <v>135</v>
      </c>
      <c r="AD61" s="5">
        <v>7.99</v>
      </c>
      <c r="AE61" s="5">
        <f t="shared" si="3"/>
        <v>11.98</v>
      </c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5.75" x14ac:dyDescent="0.25">
      <c r="A62" s="43" t="s">
        <v>60</v>
      </c>
      <c r="B62" s="44" t="s">
        <v>147</v>
      </c>
      <c r="C62" s="50" t="s">
        <v>41</v>
      </c>
      <c r="D62" s="44" t="s">
        <v>42</v>
      </c>
      <c r="E62" s="45">
        <v>54.99</v>
      </c>
      <c r="F62" s="45">
        <v>49.99</v>
      </c>
      <c r="G62" s="45">
        <f>F62*0.95</f>
        <v>47.490499999999997</v>
      </c>
      <c r="H62" s="45">
        <v>44.49</v>
      </c>
      <c r="I62" s="46">
        <f>SUM(J62:V62)</f>
        <v>0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5" t="str">
        <f>IF(I62&lt;10,"mindestens 10 von diesem Artikel",(Y62+IF(I62&lt;25,E62,IF(I62&lt;50,F62,IF(I62&lt;100,G62,H62))))/$C$27/$A$27)</f>
        <v>mindestens 10 von diesem Artikel</v>
      </c>
      <c r="X62" s="45" t="str">
        <f>IF($C$26&lt;20,"20 Oberteile!",IF(I62&lt;10,"10 von einer Sorte",W62*I62))</f>
        <v>20 Oberteile!</v>
      </c>
      <c r="Y62" s="6">
        <f>SUM(Z62:AB62)</f>
        <v>1.99</v>
      </c>
      <c r="Z62" s="6"/>
      <c r="AA62" s="6">
        <f>VLOOKUP(B62,$AC$39:$AD$40,2,FALSE)</f>
        <v>1.99</v>
      </c>
      <c r="AB62" s="6">
        <f>VLOOKUP(D62,$AC$69:$AD$70,2,FALSE)</f>
        <v>0</v>
      </c>
      <c r="AC62" s="5" t="s">
        <v>145</v>
      </c>
      <c r="AD62" s="5">
        <v>14.99</v>
      </c>
      <c r="AE62" s="5">
        <f t="shared" si="3"/>
        <v>18.98</v>
      </c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5.75" x14ac:dyDescent="0.25">
      <c r="A63" s="120" t="s">
        <v>46</v>
      </c>
      <c r="B63" s="44" t="s">
        <v>147</v>
      </c>
      <c r="C63" s="50" t="s">
        <v>41</v>
      </c>
      <c r="D63" s="44" t="s">
        <v>42</v>
      </c>
      <c r="E63" s="42">
        <v>59.99</v>
      </c>
      <c r="F63" s="45">
        <f>E63*0.9</f>
        <v>53.991</v>
      </c>
      <c r="G63" s="45">
        <v>51.49</v>
      </c>
      <c r="H63" s="45">
        <v>47.49</v>
      </c>
      <c r="I63" s="46">
        <f>SUM(J63:V63)</f>
        <v>0</v>
      </c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5" t="str">
        <f>IF(I63&lt;10,"mindestens 10 von diesem Artikel",(Y63+IF(I63&lt;25,E63,IF(I63&lt;50,F63,IF(I63&lt;100,G63,H63))))/$C$27/$A$27)</f>
        <v>mindestens 10 von diesem Artikel</v>
      </c>
      <c r="X63" s="45" t="str">
        <f>IF($C$26&lt;20,"20 Oberteile!",IF(I63&lt;10,"10 von einer Sorte",W63*I63))</f>
        <v>20 Oberteile!</v>
      </c>
      <c r="Y63" s="6">
        <f>SUM(Z63:AB63)</f>
        <v>1.99</v>
      </c>
      <c r="Z63" s="6"/>
      <c r="AA63" s="6">
        <f>VLOOKUP(B63,$AC$39:$AD$40,2,FALSE)</f>
        <v>1.99</v>
      </c>
      <c r="AB63" s="6">
        <f>VLOOKUP(D63,$AC$69:$AD$70,2,FALSE)</f>
        <v>0</v>
      </c>
      <c r="AC63" s="5" t="s">
        <v>157</v>
      </c>
      <c r="AD63" s="5">
        <v>22.99</v>
      </c>
      <c r="AE63" s="5">
        <f t="shared" si="3"/>
        <v>26.979999999999997</v>
      </c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5.75" x14ac:dyDescent="0.25">
      <c r="A64" s="21"/>
      <c r="B64" s="14"/>
      <c r="C64" s="122"/>
      <c r="D64" s="21"/>
      <c r="E64" s="42"/>
      <c r="F64" s="42"/>
      <c r="G64" s="42"/>
      <c r="H64" s="42"/>
      <c r="I64" s="21"/>
      <c r="J64" s="15"/>
      <c r="K64" s="15"/>
      <c r="L64" s="15"/>
      <c r="M64" s="15"/>
      <c r="N64" s="15"/>
      <c r="O64" s="15"/>
      <c r="P64" s="15"/>
      <c r="Q64" s="15"/>
      <c r="S64" s="15"/>
      <c r="T64" s="15"/>
      <c r="U64" s="15"/>
      <c r="V64" s="15"/>
      <c r="W64" s="15"/>
      <c r="X64" s="15"/>
      <c r="Y64" s="6"/>
      <c r="Z64" s="6"/>
      <c r="AA64" s="6"/>
      <c r="AB64" s="6"/>
      <c r="AC64" s="5" t="s">
        <v>62</v>
      </c>
      <c r="AD64" s="5">
        <v>0</v>
      </c>
      <c r="AE64" s="5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5.75" x14ac:dyDescent="0.25">
      <c r="A65" s="43" t="s">
        <v>63</v>
      </c>
      <c r="B65" s="44" t="s">
        <v>147</v>
      </c>
      <c r="C65" s="50" t="s">
        <v>41</v>
      </c>
      <c r="D65" s="44" t="s">
        <v>42</v>
      </c>
      <c r="E65" s="45">
        <f>E61</f>
        <v>46.49</v>
      </c>
      <c r="F65" s="45">
        <f>E65*0.9</f>
        <v>41.841000000000001</v>
      </c>
      <c r="G65" s="45">
        <f>F65*0.95</f>
        <v>39.748950000000001</v>
      </c>
      <c r="H65" s="45">
        <f>G65*0.93</f>
        <v>36.966523500000001</v>
      </c>
      <c r="I65" s="46">
        <f>SUM(J65:V65)</f>
        <v>0</v>
      </c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5" t="str">
        <f>IF(I65&lt;10,"mindestens 10 von diesem Artikel",(Y65+IF(I65&lt;25,E65,IF(I65&lt;50,F65,IF(I65&lt;100,G65,H65))))/$C$27/$A$27)</f>
        <v>mindestens 10 von diesem Artikel</v>
      </c>
      <c r="X65" s="45" t="str">
        <f>IF($C$26&lt;20,"20 Oberteile!",IF(I65&lt;10,"10 von einer Sorte",W65*I65))</f>
        <v>20 Oberteile!</v>
      </c>
      <c r="Y65" s="6">
        <f>SUM(Z65:AB65)</f>
        <v>1.99</v>
      </c>
      <c r="Z65" s="6"/>
      <c r="AA65" s="6">
        <f>VLOOKUP(B65,$AC$39:$AD$40,2,FALSE)</f>
        <v>1.99</v>
      </c>
      <c r="AB65" s="6">
        <f>VLOOKUP(D65,$AC$69:$AD$70,2,FALSE)</f>
        <v>0</v>
      </c>
      <c r="AC65" s="5" t="s">
        <v>46</v>
      </c>
      <c r="AD65" s="5">
        <v>3.99</v>
      </c>
      <c r="AE65" s="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5.75" customHeight="1" x14ac:dyDescent="0.25">
      <c r="A66" s="21"/>
      <c r="B66" s="14"/>
      <c r="C66" s="122"/>
      <c r="D66" s="21"/>
      <c r="E66" s="42"/>
      <c r="F66" s="42"/>
      <c r="G66" s="42"/>
      <c r="H66" s="42"/>
      <c r="I66" s="21"/>
      <c r="J66" s="15"/>
      <c r="K66" s="15"/>
      <c r="L66" s="15"/>
      <c r="M66" s="15"/>
      <c r="N66" s="15"/>
      <c r="O66" s="15"/>
      <c r="P66" s="15"/>
      <c r="Q66" s="15"/>
      <c r="S66" s="15"/>
      <c r="T66" s="15"/>
      <c r="U66" s="15"/>
      <c r="V66" s="15"/>
      <c r="W66" s="15"/>
      <c r="X66" s="15"/>
      <c r="Y66" s="6"/>
      <c r="Z66" s="6"/>
      <c r="AA66" s="6"/>
      <c r="AB66" s="6"/>
      <c r="AC66" s="5" t="s">
        <v>64</v>
      </c>
      <c r="AD66" s="5">
        <v>1.99</v>
      </c>
      <c r="AE66" s="8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5.75" x14ac:dyDescent="0.25">
      <c r="A67" s="43" t="s">
        <v>65</v>
      </c>
      <c r="B67" s="44" t="s">
        <v>147</v>
      </c>
      <c r="C67" s="50" t="s">
        <v>41</v>
      </c>
      <c r="D67" s="44" t="s">
        <v>42</v>
      </c>
      <c r="E67" s="45">
        <f>E62</f>
        <v>54.99</v>
      </c>
      <c r="F67" s="45">
        <f>E67*0.9</f>
        <v>49.491</v>
      </c>
      <c r="G67" s="45">
        <f>F67*0.95</f>
        <v>47.016449999999999</v>
      </c>
      <c r="H67" s="45">
        <f>G67*0.93</f>
        <v>43.725298500000001</v>
      </c>
      <c r="I67" s="46">
        <f>SUM(J67:V67)</f>
        <v>0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5" t="str">
        <f>IF(I67&lt;10,"mindestens 10 von diesem Artikel",(Y67+IF(I67&lt;25,E67,IF(I67&lt;50,F67,IF(I67&lt;100,G67,H67))))/$C$27/$A$27)</f>
        <v>mindestens 10 von diesem Artikel</v>
      </c>
      <c r="X67" s="45" t="str">
        <f>IF($C$26&lt;20,"20 Oberteile!",IF(I67&lt;10,"10 von einer Sorte",W67*I67))</f>
        <v>20 Oberteile!</v>
      </c>
      <c r="Y67" s="6">
        <f>SUM(Z67:AB67)</f>
        <v>1.99</v>
      </c>
      <c r="Z67" s="6"/>
      <c r="AA67" s="6">
        <f>VLOOKUP(B67,$AC$39:$AD$40,2,FALSE)</f>
        <v>1.99</v>
      </c>
      <c r="AB67" s="6">
        <f>VLOOKUP(D67,$AC$69:$AD$70,2,FALSE)</f>
        <v>0</v>
      </c>
      <c r="AC67" s="8"/>
      <c r="AD67" s="8"/>
      <c r="AE67" s="8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5.75" x14ac:dyDescent="0.25">
      <c r="A68" s="21"/>
      <c r="B68" s="14"/>
      <c r="C68" s="21"/>
      <c r="D68" s="21"/>
      <c r="E68" s="42"/>
      <c r="F68" s="42"/>
      <c r="G68" s="42"/>
      <c r="H68" s="42"/>
      <c r="I68" s="21"/>
      <c r="J68" s="15"/>
      <c r="K68" s="15"/>
      <c r="L68" s="15"/>
      <c r="M68" s="15"/>
      <c r="N68" s="15"/>
      <c r="O68" s="15"/>
      <c r="P68" s="15"/>
      <c r="Q68" s="15"/>
      <c r="S68" s="15"/>
      <c r="T68" s="15"/>
      <c r="U68" s="15"/>
      <c r="V68" s="15"/>
      <c r="W68" s="15"/>
      <c r="X68" s="15"/>
      <c r="Y68" s="6"/>
      <c r="Z68" s="6"/>
      <c r="AA68" s="6"/>
      <c r="AB68" s="6"/>
      <c r="AC68" s="5" t="s">
        <v>66</v>
      </c>
      <c r="AD68" s="8"/>
      <c r="AE68" s="8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5.75" x14ac:dyDescent="0.25">
      <c r="A69" s="21" t="s">
        <v>148</v>
      </c>
      <c r="B69" s="14"/>
      <c r="C69" s="21"/>
      <c r="D69" s="21"/>
      <c r="E69" s="42"/>
      <c r="F69" s="42"/>
      <c r="G69" s="42"/>
      <c r="H69" s="42"/>
      <c r="I69" s="21"/>
      <c r="J69" s="15"/>
      <c r="K69" s="15"/>
      <c r="L69" s="15"/>
      <c r="M69" s="15"/>
      <c r="N69" s="15"/>
      <c r="O69" s="15"/>
      <c r="P69" s="15"/>
      <c r="Q69" s="15"/>
      <c r="R69" s="21"/>
      <c r="S69" s="42"/>
      <c r="T69" s="42"/>
      <c r="U69" s="42"/>
      <c r="V69" s="42"/>
      <c r="W69" s="42"/>
      <c r="X69" s="42"/>
      <c r="Y69" s="6"/>
      <c r="Z69" s="6"/>
      <c r="AA69" s="6"/>
      <c r="AB69" s="6"/>
      <c r="AC69" s="5" t="s">
        <v>42</v>
      </c>
      <c r="AD69" s="5">
        <v>0</v>
      </c>
      <c r="AE69" s="8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5.75" x14ac:dyDescent="0.25">
      <c r="A70" s="120" t="s">
        <v>128</v>
      </c>
      <c r="B70" s="44" t="s">
        <v>147</v>
      </c>
      <c r="C70" s="50" t="s">
        <v>41</v>
      </c>
      <c r="D70" s="50"/>
      <c r="E70" s="45">
        <v>42.99</v>
      </c>
      <c r="F70" s="45">
        <v>37.99</v>
      </c>
      <c r="G70" s="45">
        <v>35.99</v>
      </c>
      <c r="H70" s="45">
        <v>34.49</v>
      </c>
      <c r="I70" s="46">
        <f>SUM(J70:V70)</f>
        <v>0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5" t="str">
        <f>IF(I70&lt;10,"mindestens 10 von diesem Artikel",(Y70+IF(I70&lt;25,E70,IF(I70&lt;50,F70,IF(I70&lt;100,G70,H70))))/$C$27/$A$27)</f>
        <v>mindestens 10 von diesem Artikel</v>
      </c>
      <c r="X70" s="45" t="str">
        <f>IF($C$26&lt;20,"20 Oberteile!",IF(I70&lt;10,"10 von einer Sorte",W70*I70))</f>
        <v>20 Oberteile!</v>
      </c>
      <c r="Y70" s="6">
        <f>SUM(Z70:AB70)</f>
        <v>1.99</v>
      </c>
      <c r="Z70" s="6"/>
      <c r="AA70" s="6">
        <f>VLOOKUP(B70,$AC$39:$AD$40,2,FALSE)</f>
        <v>1.99</v>
      </c>
      <c r="AB70" s="6"/>
      <c r="AC70" s="5" t="s">
        <v>68</v>
      </c>
      <c r="AD70" s="5">
        <v>3.49</v>
      </c>
      <c r="AE70" s="8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5.75" x14ac:dyDescent="0.25">
      <c r="A71" s="43" t="s">
        <v>69</v>
      </c>
      <c r="B71" s="44" t="s">
        <v>147</v>
      </c>
      <c r="C71" s="50" t="s">
        <v>41</v>
      </c>
      <c r="D71" s="50"/>
      <c r="E71" s="45">
        <v>49.99</v>
      </c>
      <c r="F71" s="45">
        <f>E71*0.9</f>
        <v>44.991</v>
      </c>
      <c r="G71" s="45">
        <v>42.49</v>
      </c>
      <c r="H71" s="45">
        <v>41.49</v>
      </c>
      <c r="I71" s="46">
        <f>SUM(J71:V71)</f>
        <v>0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5" t="str">
        <f>IF(I71&lt;10,"mindestens 10 von diesem Artikel",(Y71+IF(I71&lt;25,E71,IF(I71&lt;50,F71,IF(I71&lt;100,G71,H71))))/$C$27/$A$27)</f>
        <v>mindestens 10 von diesem Artikel</v>
      </c>
      <c r="X71" s="45" t="str">
        <f>IF($C$26&lt;20,"20 Oberteile!",IF(I71&lt;10,"10 von einer Sorte",W71*I71))</f>
        <v>20 Oberteile!</v>
      </c>
      <c r="Y71" s="6">
        <f>SUM(Z71:AB71)</f>
        <v>1.99</v>
      </c>
      <c r="Z71" s="6"/>
      <c r="AA71" s="6">
        <f>VLOOKUP(B71,$AC$39:$AD$40,2,FALSE)</f>
        <v>1.99</v>
      </c>
      <c r="AB71" s="6"/>
      <c r="AC71" s="8"/>
      <c r="AD71" s="8"/>
      <c r="AE71" s="8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5.75" x14ac:dyDescent="0.25">
      <c r="A72" s="21"/>
      <c r="B72" s="14"/>
      <c r="C72" s="21"/>
      <c r="D72" s="21"/>
      <c r="E72" s="42"/>
      <c r="F72" s="42"/>
      <c r="G72" s="42"/>
      <c r="H72" s="42"/>
      <c r="I72" s="21"/>
      <c r="J72" s="15"/>
      <c r="K72" s="15"/>
      <c r="L72" s="15"/>
      <c r="M72" s="15"/>
      <c r="N72" s="15"/>
      <c r="O72" s="15"/>
      <c r="P72" s="15"/>
      <c r="Q72" s="15"/>
      <c r="S72" s="15"/>
      <c r="T72" s="15"/>
      <c r="U72" s="15"/>
      <c r="V72" s="15"/>
      <c r="W72" s="15"/>
      <c r="X72" s="15"/>
      <c r="Y72" s="6"/>
      <c r="Z72" s="6"/>
      <c r="AA72" s="6"/>
      <c r="AB72" s="6"/>
      <c r="AC72" s="5" t="s">
        <v>70</v>
      </c>
      <c r="AD72" s="5"/>
      <c r="AE72" s="8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5.75" x14ac:dyDescent="0.25">
      <c r="A73" s="21" t="s">
        <v>126</v>
      </c>
      <c r="B73" s="14"/>
      <c r="C73" s="21"/>
      <c r="D73" s="21"/>
      <c r="E73" s="42"/>
      <c r="F73" s="42"/>
      <c r="G73" s="42"/>
      <c r="H73" s="42"/>
      <c r="I73" s="21"/>
      <c r="J73" s="15"/>
      <c r="K73" s="15"/>
      <c r="L73" s="15"/>
      <c r="M73" s="15"/>
      <c r="N73" s="15"/>
      <c r="O73" s="15"/>
      <c r="P73" s="15"/>
      <c r="Q73" s="15"/>
      <c r="R73" s="21"/>
      <c r="S73" s="42"/>
      <c r="T73" s="42"/>
      <c r="U73" s="42"/>
      <c r="V73" s="42"/>
      <c r="W73" s="42"/>
      <c r="X73" s="42"/>
      <c r="Y73" s="6"/>
      <c r="Z73" s="6"/>
      <c r="AA73" s="6"/>
      <c r="AB73" s="6"/>
      <c r="AC73" s="5" t="s">
        <v>71</v>
      </c>
      <c r="AD73" s="5">
        <v>3.49</v>
      </c>
      <c r="AE73" s="8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5.75" hidden="1" x14ac:dyDescent="0.25">
      <c r="A74" s="43" t="s">
        <v>72</v>
      </c>
      <c r="B74" s="44" t="s">
        <v>147</v>
      </c>
      <c r="C74" s="44" t="s">
        <v>41</v>
      </c>
      <c r="D74" s="44" t="s">
        <v>42</v>
      </c>
      <c r="E74" s="45">
        <v>40.869999999999997</v>
      </c>
      <c r="F74" s="45">
        <v>37.89</v>
      </c>
      <c r="G74" s="45">
        <v>36.99</v>
      </c>
      <c r="H74" s="45">
        <v>35.979999999999997</v>
      </c>
      <c r="I74" s="46">
        <f t="shared" ref="I74:I79" si="8">SUM(J74:V74)</f>
        <v>0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5" t="str">
        <f t="shared" ref="W74:W79" si="9">IF(I74&lt;10,"mindestens 10 von diesem Artikel",(Y74+IF(I74&lt;25,E74,IF(I74&lt;50,F74,IF(I74&lt;100,G74,H74))))/$C$27/$A$27)</f>
        <v>mindestens 10 von diesem Artikel</v>
      </c>
      <c r="X74" s="45" t="str">
        <f t="shared" ref="X74:X79" si="10">IF($C$26&lt;20,"20 Oberteile!",IF(I74&lt;10,"10 von einer Sorte",W74*I74))</f>
        <v>20 Oberteile!</v>
      </c>
      <c r="Y74" s="6">
        <f>SUM(Z74:AB74)</f>
        <v>1.99</v>
      </c>
      <c r="Z74" s="6"/>
      <c r="AA74" s="6">
        <f>VLOOKUP(B74,$AC$39:$AD$40,2,FALSE)</f>
        <v>1.99</v>
      </c>
      <c r="AB74" s="6">
        <f t="shared" ref="AB74:AB79" si="11">VLOOKUP(D74,$AC$69:$AD$70,2,FALSE)</f>
        <v>0</v>
      </c>
      <c r="AC74" s="5" t="s">
        <v>67</v>
      </c>
      <c r="AD74" s="5"/>
      <c r="AE74" s="8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5.75" x14ac:dyDescent="0.25">
      <c r="A75" s="43" t="s">
        <v>129</v>
      </c>
      <c r="B75" s="44" t="s">
        <v>147</v>
      </c>
      <c r="C75" s="50" t="s">
        <v>41</v>
      </c>
      <c r="D75" s="44" t="s">
        <v>42</v>
      </c>
      <c r="E75" s="45">
        <v>59.99</v>
      </c>
      <c r="F75" s="45">
        <f>E75*0.9</f>
        <v>53.991</v>
      </c>
      <c r="G75" s="45">
        <v>51.49</v>
      </c>
      <c r="H75" s="45">
        <v>47.99</v>
      </c>
      <c r="I75" s="46">
        <f t="shared" si="8"/>
        <v>0</v>
      </c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5" t="str">
        <f t="shared" si="9"/>
        <v>mindestens 10 von diesem Artikel</v>
      </c>
      <c r="X75" s="45" t="str">
        <f t="shared" si="10"/>
        <v>20 Oberteile!</v>
      </c>
      <c r="Y75" s="6">
        <f>SUM(Z75:AB75)</f>
        <v>1.99</v>
      </c>
      <c r="Z75" s="6"/>
      <c r="AA75" s="6">
        <f>VLOOKUP(B75,$AC$39:$AD$40,2,FALSE)</f>
        <v>1.99</v>
      </c>
      <c r="AB75" s="6">
        <f t="shared" si="11"/>
        <v>0</v>
      </c>
      <c r="AC75" s="8"/>
      <c r="AD75" s="8"/>
      <c r="AE75" s="8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5.75" x14ac:dyDescent="0.25">
      <c r="A76" s="43" t="s">
        <v>73</v>
      </c>
      <c r="B76" s="44" t="s">
        <v>147</v>
      </c>
      <c r="C76" s="43" t="s">
        <v>48</v>
      </c>
      <c r="D76" s="44" t="s">
        <v>42</v>
      </c>
      <c r="E76" s="45">
        <v>69.989999999999995</v>
      </c>
      <c r="F76" s="45">
        <f>E76*0.9</f>
        <v>62.991</v>
      </c>
      <c r="G76" s="45">
        <v>59.99</v>
      </c>
      <c r="H76" s="45">
        <v>55.49</v>
      </c>
      <c r="I76" s="46">
        <f t="shared" si="8"/>
        <v>0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5" t="str">
        <f t="shared" si="9"/>
        <v>mindestens 10 von diesem Artikel</v>
      </c>
      <c r="X76" s="45" t="str">
        <f t="shared" si="10"/>
        <v>20 Oberteile!</v>
      </c>
      <c r="Y76" s="6">
        <f>SUM(Z76:AB76)</f>
        <v>1.99</v>
      </c>
      <c r="Z76" s="6"/>
      <c r="AA76" s="6">
        <f>VLOOKUP(B76,$AC$39:$AD$40,2,FALSE)</f>
        <v>1.99</v>
      </c>
      <c r="AB76" s="6">
        <f t="shared" si="11"/>
        <v>0</v>
      </c>
      <c r="AC76" s="5" t="s">
        <v>160</v>
      </c>
      <c r="AD76" s="8"/>
      <c r="AE76" s="8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5.75" x14ac:dyDescent="0.25">
      <c r="A77" s="43" t="s">
        <v>74</v>
      </c>
      <c r="B77" s="44" t="s">
        <v>147</v>
      </c>
      <c r="C77" s="43" t="s">
        <v>48</v>
      </c>
      <c r="D77" s="44" t="s">
        <v>42</v>
      </c>
      <c r="E77" s="45">
        <v>74.989999999999995</v>
      </c>
      <c r="F77" s="45">
        <v>64.989999999999995</v>
      </c>
      <c r="G77" s="45">
        <v>60.99</v>
      </c>
      <c r="H77" s="45">
        <v>59.99</v>
      </c>
      <c r="I77" s="46">
        <f t="shared" si="8"/>
        <v>0</v>
      </c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5" t="str">
        <f t="shared" si="9"/>
        <v>mindestens 10 von diesem Artikel</v>
      </c>
      <c r="X77" s="45" t="str">
        <f t="shared" si="10"/>
        <v>20 Oberteile!</v>
      </c>
      <c r="Y77" s="6">
        <f>SUM(Z77:AB77)</f>
        <v>1.99</v>
      </c>
      <c r="Z77" s="6"/>
      <c r="AA77" s="6">
        <f>VLOOKUP(B77,$AC$39:$AD$40,2,FALSE)</f>
        <v>1.99</v>
      </c>
      <c r="AB77" s="6">
        <f t="shared" si="11"/>
        <v>0</v>
      </c>
      <c r="AC77" s="5" t="s">
        <v>158</v>
      </c>
      <c r="AD77" s="8">
        <v>0</v>
      </c>
      <c r="AE77" s="8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5.75" x14ac:dyDescent="0.25">
      <c r="A78" s="43" t="s">
        <v>150</v>
      </c>
      <c r="B78" s="14"/>
      <c r="C78" s="50" t="s">
        <v>48</v>
      </c>
      <c r="D78" s="44" t="s">
        <v>42</v>
      </c>
      <c r="E78" s="45">
        <v>134.99</v>
      </c>
      <c r="F78" s="45">
        <f>E78*0.9</f>
        <v>121.49100000000001</v>
      </c>
      <c r="G78" s="45">
        <v>115.49</v>
      </c>
      <c r="H78" s="45">
        <v>107.49</v>
      </c>
      <c r="I78" s="46">
        <f t="shared" si="8"/>
        <v>0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5" t="str">
        <f t="shared" si="9"/>
        <v>mindestens 10 von diesem Artikel</v>
      </c>
      <c r="X78" s="45" t="str">
        <f t="shared" si="10"/>
        <v>20 Oberteile!</v>
      </c>
      <c r="Y78" s="6">
        <f>SUM(Z78:AB78)</f>
        <v>0</v>
      </c>
      <c r="Z78" s="6"/>
      <c r="AA78" s="6"/>
      <c r="AB78" s="6">
        <f t="shared" si="11"/>
        <v>0</v>
      </c>
      <c r="AC78" s="5" t="s">
        <v>159</v>
      </c>
      <c r="AD78" s="8">
        <v>24.95</v>
      </c>
      <c r="AE78" s="8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5.75" x14ac:dyDescent="0.25">
      <c r="A79" s="43" t="s">
        <v>75</v>
      </c>
      <c r="B79" s="14"/>
      <c r="C79" s="43" t="s">
        <v>48</v>
      </c>
      <c r="D79" s="44" t="s">
        <v>42</v>
      </c>
      <c r="E79" s="45">
        <v>109.99</v>
      </c>
      <c r="F79" s="45">
        <f>E79*0.9</f>
        <v>98.991</v>
      </c>
      <c r="G79" s="45">
        <v>93.99</v>
      </c>
      <c r="H79" s="45">
        <v>89.99</v>
      </c>
      <c r="I79" s="46">
        <f t="shared" si="8"/>
        <v>0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5" t="str">
        <f t="shared" si="9"/>
        <v>mindestens 10 von diesem Artikel</v>
      </c>
      <c r="X79" s="45" t="str">
        <f t="shared" si="10"/>
        <v>20 Oberteile!</v>
      </c>
      <c r="Y79" s="6">
        <f>SUM(Z79:AC79)</f>
        <v>0</v>
      </c>
      <c r="Z79" s="6"/>
      <c r="AA79" s="6"/>
      <c r="AB79" s="6">
        <f t="shared" si="11"/>
        <v>0</v>
      </c>
      <c r="AC79" s="6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5.75" x14ac:dyDescent="0.25">
      <c r="A80" s="21"/>
      <c r="B80" s="14"/>
      <c r="C80" s="21"/>
      <c r="D80" s="21"/>
      <c r="E80" s="42"/>
      <c r="F80" s="42"/>
      <c r="G80" s="42"/>
      <c r="H80" s="42"/>
      <c r="I80" s="21"/>
      <c r="J80" s="21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6"/>
      <c r="Z80" s="6"/>
      <c r="AA80" s="6"/>
      <c r="AB80" s="6"/>
      <c r="AC80" s="6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5.75" hidden="1" customHeight="1" x14ac:dyDescent="0.25">
      <c r="A81" s="21" t="s">
        <v>76</v>
      </c>
      <c r="B81" s="14"/>
      <c r="C81" s="21"/>
      <c r="D81" s="21"/>
      <c r="E81" s="42"/>
      <c r="F81" s="42"/>
      <c r="G81" s="42"/>
      <c r="H81" s="42"/>
      <c r="I81" s="21"/>
      <c r="J81" s="21"/>
      <c r="K81" s="15"/>
      <c r="L81" s="15"/>
      <c r="M81" s="15"/>
      <c r="N81" s="15"/>
      <c r="O81" s="15"/>
      <c r="P81" s="15"/>
      <c r="Q81" s="15"/>
      <c r="R81" s="21"/>
      <c r="S81" s="42"/>
      <c r="T81" s="15"/>
      <c r="U81" s="15"/>
      <c r="V81" s="15"/>
      <c r="W81" s="15"/>
      <c r="X81" s="15"/>
      <c r="Y81" s="6"/>
      <c r="Z81" s="6"/>
      <c r="AA81" s="6"/>
      <c r="AB81" s="6"/>
      <c r="AC81" s="6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5.75" hidden="1" customHeight="1" x14ac:dyDescent="0.25">
      <c r="A82" s="43" t="s">
        <v>77</v>
      </c>
      <c r="B82" s="49"/>
      <c r="C82" s="50" t="s">
        <v>78</v>
      </c>
      <c r="D82" s="50"/>
      <c r="E82" s="45">
        <v>25.99</v>
      </c>
      <c r="F82" s="45">
        <v>22.99</v>
      </c>
      <c r="G82" s="45">
        <v>21.99</v>
      </c>
      <c r="H82" s="45">
        <v>20.99</v>
      </c>
      <c r="I82" s="46">
        <f>SUM(J82:V82)</f>
        <v>0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5" t="str">
        <f>IF(I82&lt;10,"mindestens 10 von diesem Artikel",(Y82+IF(I82&lt;25,E82,IF(I82&lt;50,F82,IF(I82&lt;100,G82,H82))))/$C$27/$A$27)</f>
        <v>mindestens 10 von diesem Artikel</v>
      </c>
      <c r="X82" s="45" t="str">
        <f>IF($C$26&lt;20,"20 Oberteile!",IF(I82&lt;10,"10 von einer Sorte",W82*I82))</f>
        <v>20 Oberteile!</v>
      </c>
      <c r="Y82" s="6">
        <f>SUM(Z82:AC82)</f>
        <v>0</v>
      </c>
      <c r="Z82" s="6"/>
      <c r="AA82" s="6"/>
      <c r="AB82" s="6"/>
      <c r="AC82" s="6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5.75" hidden="1" customHeight="1" x14ac:dyDescent="0.25">
      <c r="A83" s="43" t="s">
        <v>79</v>
      </c>
      <c r="B83" s="49"/>
      <c r="C83" s="50" t="s">
        <v>78</v>
      </c>
      <c r="D83" s="50"/>
      <c r="E83" s="45">
        <v>29.99</v>
      </c>
      <c r="F83" s="45">
        <v>26.99</v>
      </c>
      <c r="G83" s="45">
        <v>24.99</v>
      </c>
      <c r="H83" s="45">
        <v>25.99</v>
      </c>
      <c r="I83" s="46">
        <f>SUM(J83:V83)</f>
        <v>0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5" t="str">
        <f>IF(I83&lt;10,"mindestens 10 von diesem Artikel",(Y83+IF(I83&lt;25,E83,IF(I83&lt;50,F83,IF(I83&lt;100,G83,H83))))/$C$27/$A$27)</f>
        <v>mindestens 10 von diesem Artikel</v>
      </c>
      <c r="X83" s="45" t="str">
        <f>IF($C$26&lt;20,"20 Oberteile!",IF(I83&lt;10,"10 von einer Sorte",W83*I83))</f>
        <v>20 Oberteile!</v>
      </c>
      <c r="Y83" s="6">
        <f>SUM(Z83:AC83)</f>
        <v>0</v>
      </c>
      <c r="Z83" s="6"/>
      <c r="AA83" s="6"/>
      <c r="AB83" s="6"/>
      <c r="AC83" s="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5.75" hidden="1" customHeight="1" x14ac:dyDescent="0.25">
      <c r="A84" s="43" t="s">
        <v>80</v>
      </c>
      <c r="B84" s="49"/>
      <c r="C84" s="50" t="s">
        <v>78</v>
      </c>
      <c r="D84" s="50"/>
      <c r="E84" s="45">
        <v>37.979999999999997</v>
      </c>
      <c r="F84" s="45">
        <v>32.85</v>
      </c>
      <c r="G84" s="45">
        <v>29.99</v>
      </c>
      <c r="H84" s="45">
        <v>28.87</v>
      </c>
      <c r="I84" s="46">
        <f>SUM(J84:V84)</f>
        <v>0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5" t="str">
        <f>IF(I84&lt;10,"mindestens 10 von diesem Artikel",(Y84+IF(I84&lt;25,E84,IF(I84&lt;50,F84,IF(I84&lt;100,G84,H84))))/$C$27/$A$27)</f>
        <v>mindestens 10 von diesem Artikel</v>
      </c>
      <c r="X84" s="45" t="str">
        <f>IF($C$26&lt;20,"20 Oberteile!",IF(I84&lt;10,"10 von einer Sorte",W84*I84))</f>
        <v>20 Oberteile!</v>
      </c>
      <c r="Y84" s="6">
        <f>SUM(Z84:AC84)</f>
        <v>0</v>
      </c>
      <c r="Z84" s="6"/>
      <c r="AA84" s="6"/>
      <c r="AB84" s="6"/>
      <c r="AC84" s="6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5.75" hidden="1" customHeight="1" x14ac:dyDescent="0.25">
      <c r="A85" s="21"/>
      <c r="B85" s="14"/>
      <c r="C85" s="21"/>
      <c r="D85" s="21"/>
      <c r="E85" s="42"/>
      <c r="F85" s="42"/>
      <c r="G85" s="42"/>
      <c r="H85" s="42"/>
      <c r="I85" s="21"/>
      <c r="J85" s="21"/>
      <c r="K85" s="21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6"/>
      <c r="Z85" s="6"/>
      <c r="AA85" s="6"/>
      <c r="AB85" s="6"/>
      <c r="AC85" s="6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5.75" x14ac:dyDescent="0.25">
      <c r="A86" s="33" t="s">
        <v>17</v>
      </c>
      <c r="B86" s="33" t="s">
        <v>18</v>
      </c>
      <c r="C86" s="33" t="s">
        <v>19</v>
      </c>
      <c r="D86" s="33" t="s">
        <v>20</v>
      </c>
      <c r="E86" s="34">
        <v>10</v>
      </c>
      <c r="F86" s="34">
        <v>25</v>
      </c>
      <c r="G86" s="34">
        <v>50</v>
      </c>
      <c r="H86" s="34">
        <v>100</v>
      </c>
      <c r="I86" s="34" t="s">
        <v>21</v>
      </c>
      <c r="J86" s="34" t="s">
        <v>122</v>
      </c>
      <c r="K86" s="34" t="s">
        <v>22</v>
      </c>
      <c r="L86" s="34" t="s">
        <v>23</v>
      </c>
      <c r="M86" s="34" t="s">
        <v>24</v>
      </c>
      <c r="N86" s="34" t="s">
        <v>25</v>
      </c>
      <c r="O86" s="34" t="s">
        <v>26</v>
      </c>
      <c r="P86" s="34" t="s">
        <v>27</v>
      </c>
      <c r="Q86" s="34" t="s">
        <v>28</v>
      </c>
      <c r="R86" s="34" t="s">
        <v>29</v>
      </c>
      <c r="S86" s="34" t="s">
        <v>30</v>
      </c>
      <c r="T86" s="48" t="s">
        <v>56</v>
      </c>
      <c r="U86" s="34" t="s">
        <v>32</v>
      </c>
      <c r="V86" s="34" t="s">
        <v>33</v>
      </c>
      <c r="W86" s="35" t="s">
        <v>34</v>
      </c>
      <c r="X86" s="35" t="s">
        <v>35</v>
      </c>
      <c r="Y86" s="6">
        <f>SUM(Z86:AC86)</f>
        <v>0</v>
      </c>
      <c r="Z86" s="6"/>
      <c r="AA86" s="6"/>
      <c r="AB86" s="6"/>
      <c r="AC86" s="6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1.25" customHeight="1" x14ac:dyDescent="0.25">
      <c r="A87" s="21"/>
      <c r="B87" s="14"/>
      <c r="C87" s="21"/>
      <c r="D87" s="21"/>
      <c r="E87" s="42"/>
      <c r="F87" s="42"/>
      <c r="G87" s="42"/>
      <c r="H87" s="42"/>
      <c r="I87" s="21"/>
      <c r="J87" s="21"/>
      <c r="K87" s="21"/>
      <c r="L87" s="38"/>
      <c r="M87" s="38"/>
      <c r="N87" s="38"/>
      <c r="O87" s="38"/>
      <c r="P87" s="38"/>
      <c r="Q87" s="38"/>
      <c r="R87" s="38"/>
      <c r="S87" s="38"/>
      <c r="T87" s="39"/>
      <c r="U87" s="39"/>
      <c r="V87" s="39"/>
      <c r="W87" s="40"/>
      <c r="X87" s="40"/>
      <c r="Y87" s="6"/>
      <c r="Z87" s="6"/>
      <c r="AA87" s="6"/>
      <c r="AB87" s="6"/>
      <c r="AC87" s="6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5.75" x14ac:dyDescent="0.25">
      <c r="A88" s="21" t="s">
        <v>156</v>
      </c>
      <c r="B88" s="51"/>
      <c r="C88" s="52" t="s">
        <v>81</v>
      </c>
      <c r="D88" s="52"/>
      <c r="E88" s="53"/>
      <c r="F88" s="53"/>
      <c r="G88" s="53"/>
      <c r="H88" s="53"/>
      <c r="I88" s="21"/>
      <c r="J88" s="21"/>
      <c r="K88" s="21"/>
      <c r="L88" s="15"/>
      <c r="M88" s="15"/>
      <c r="N88" s="15"/>
      <c r="O88" s="15"/>
      <c r="P88" s="15"/>
      <c r="Q88" s="15"/>
      <c r="R88" s="21"/>
      <c r="S88" s="42"/>
      <c r="T88" s="42"/>
      <c r="U88" s="42"/>
      <c r="V88" s="42"/>
      <c r="W88" s="42"/>
      <c r="X88" s="42"/>
      <c r="Y88" s="6"/>
      <c r="Z88" s="6"/>
      <c r="AA88" s="6"/>
      <c r="AB88" s="6"/>
      <c r="AC88" s="6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5.75" hidden="1" x14ac:dyDescent="0.25">
      <c r="A89" s="43" t="s">
        <v>82</v>
      </c>
      <c r="B89" s="44" t="s">
        <v>121</v>
      </c>
      <c r="C89" s="44" t="s">
        <v>134</v>
      </c>
      <c r="D89" s="44" t="str">
        <f>$B$99</f>
        <v>Aero</v>
      </c>
      <c r="E89" s="45">
        <v>55.95</v>
      </c>
      <c r="F89" s="45">
        <f>E89*0.9</f>
        <v>50.355000000000004</v>
      </c>
      <c r="G89" s="45">
        <f>F89*0.95</f>
        <v>47.837250000000004</v>
      </c>
      <c r="H89" s="45">
        <f>G89*0.93</f>
        <v>44.488642500000005</v>
      </c>
      <c r="I89" s="46">
        <f>SUM(J89:V89)</f>
        <v>0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5" t="str">
        <f>IF(I89&lt;10,"mindestens 10 von diesem Artikel",(Y89+IF(I89&lt;25,E89,IF(I89&lt;50,F89,IF(I89&lt;100,G89,H89))))/$C$27/$A$27)</f>
        <v>mindestens 10 von diesem Artikel</v>
      </c>
      <c r="X89" s="45" t="str">
        <f>IF($C$26&lt;20,"20 Oberteile!",IF(I89&lt;10,"10 von einer Sorte",W89*I89))</f>
        <v>20 Oberteile!</v>
      </c>
      <c r="Y89" s="6">
        <f>SUM(Z89:AC89)</f>
        <v>11.98</v>
      </c>
      <c r="Z89" s="6">
        <f>VLOOKUP(C89,$AC$49:$AD$61,2,FALSE)</f>
        <v>7.99</v>
      </c>
      <c r="AA89" s="6">
        <f>VLOOKUP(B89,$AC$35:$AD$37,2,FALSE)</f>
        <v>0</v>
      </c>
      <c r="AB89" s="6">
        <f>VLOOKUP(D89,$AC$63:$AD$65,2,FALSE)</f>
        <v>3.99</v>
      </c>
      <c r="AC89" s="6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5.75" hidden="1" x14ac:dyDescent="0.25">
      <c r="A90" s="43" t="s">
        <v>82</v>
      </c>
      <c r="B90" s="44" t="s">
        <v>121</v>
      </c>
      <c r="C90" s="44" t="s">
        <v>134</v>
      </c>
      <c r="D90" s="44" t="str">
        <f>$B$99</f>
        <v>Aero</v>
      </c>
      <c r="E90" s="45">
        <f>E89</f>
        <v>55.95</v>
      </c>
      <c r="F90" s="45">
        <f>F89</f>
        <v>50.355000000000004</v>
      </c>
      <c r="G90" s="45">
        <f>G89</f>
        <v>47.837250000000004</v>
      </c>
      <c r="H90" s="45">
        <f>H89</f>
        <v>44.488642500000005</v>
      </c>
      <c r="I90" s="46">
        <f>SUM(J90:V90)</f>
        <v>0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5" t="str">
        <f>IF(I90&lt;10,"mindestens 10 von diesem Artikel",(Y90+IF(I90&lt;25,E90,IF(I90&lt;50,F90,IF(I90&lt;100,G90,H90))))/$C$27/$A$27)</f>
        <v>mindestens 10 von diesem Artikel</v>
      </c>
      <c r="X90" s="45" t="str">
        <f>IF($C$26&lt;20,"20 Oberteile!",IF(I90&lt;10,"10 von einer Sorte",IF(I90&lt;10,0,W90*I90)))</f>
        <v>20 Oberteile!</v>
      </c>
      <c r="Y90" s="6">
        <f>SUM(Z90:AC90)</f>
        <v>11.98</v>
      </c>
      <c r="Z90" s="6">
        <f>VLOOKUP(C90,$AC$49:$AD$61,2,FALSE)</f>
        <v>7.99</v>
      </c>
      <c r="AA90" s="6">
        <f>VLOOKUP(B90,$AC$35:$AD$37,2,FALSE)</f>
        <v>0</v>
      </c>
      <c r="AB90" s="6">
        <f>VLOOKUP(D90,$AC$63:$AD$65,2,FALSE)</f>
        <v>3.99</v>
      </c>
      <c r="AC90" s="6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5.75" hidden="1" x14ac:dyDescent="0.25">
      <c r="A91" s="21"/>
      <c r="B91" s="14"/>
      <c r="C91" s="21"/>
      <c r="D91" s="21"/>
      <c r="E91" s="42"/>
      <c r="F91" s="42"/>
      <c r="G91" s="42"/>
      <c r="H91" s="42"/>
      <c r="I91" s="21"/>
      <c r="J91" s="15"/>
      <c r="K91" s="15"/>
      <c r="L91" s="15"/>
      <c r="M91" s="15"/>
      <c r="N91" s="15"/>
      <c r="O91" s="15"/>
      <c r="P91" s="15"/>
      <c r="Q91" s="15"/>
      <c r="S91" s="15"/>
      <c r="T91" s="15"/>
      <c r="U91" s="15"/>
      <c r="V91" s="15"/>
      <c r="W91" s="15"/>
      <c r="X91" s="15"/>
      <c r="Y91" s="6"/>
      <c r="Z91" s="6"/>
      <c r="AA91" s="6"/>
      <c r="AB91" s="6"/>
      <c r="AC91" s="6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5.75" x14ac:dyDescent="0.25">
      <c r="A92" s="43" t="s">
        <v>80</v>
      </c>
      <c r="B92" s="14"/>
      <c r="C92" s="44" t="s">
        <v>134</v>
      </c>
      <c r="D92" s="44" t="s">
        <v>159</v>
      </c>
      <c r="E92" s="45">
        <v>89.5</v>
      </c>
      <c r="F92" s="45">
        <v>81.489999999999995</v>
      </c>
      <c r="G92" s="45">
        <v>77.489999999999995</v>
      </c>
      <c r="H92" s="45">
        <v>71.989999999999995</v>
      </c>
      <c r="I92" s="46">
        <f>SUM(J92:V92)</f>
        <v>0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5" t="str">
        <f>IF(I92&lt;10,"mindestens 10 von diesem Artikel",(Y92+IF(I92&lt;25,E92,IF(I92&lt;50,F92,IF(I92&lt;100,G92,H92))))/$C$27/$A$27)</f>
        <v>mindestens 10 von diesem Artikel</v>
      </c>
      <c r="X92" s="45" t="str">
        <f>IF($C$26&lt;20,"20 Oberteile!",IF(I92&lt;10,"10 von einer Sorte",W92*I92))</f>
        <v>20 Oberteile!</v>
      </c>
      <c r="Y92" s="6">
        <f>SUM(Z92:AC92)</f>
        <v>32.94</v>
      </c>
      <c r="Z92" s="6">
        <f>VLOOKUP(C92,$AC$49:$AD$61,2,FALSE)</f>
        <v>7.99</v>
      </c>
      <c r="AA92" s="6"/>
      <c r="AB92" s="6">
        <f>VLOOKUP(D92,$AC$77:$AD$78,2,FALSE)</f>
        <v>24.95</v>
      </c>
      <c r="AC92" s="6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5.75" x14ac:dyDescent="0.25">
      <c r="A93" s="43" t="s">
        <v>80</v>
      </c>
      <c r="B93" s="14"/>
      <c r="C93" s="44" t="s">
        <v>134</v>
      </c>
      <c r="D93" s="44" t="s">
        <v>158</v>
      </c>
      <c r="E93" s="45">
        <f>E92</f>
        <v>89.5</v>
      </c>
      <c r="F93" s="45">
        <f>F92</f>
        <v>81.489999999999995</v>
      </c>
      <c r="G93" s="45">
        <f>G92</f>
        <v>77.489999999999995</v>
      </c>
      <c r="H93" s="45">
        <f>H92</f>
        <v>71.989999999999995</v>
      </c>
      <c r="I93" s="46">
        <f>SUM(J93:V93)</f>
        <v>0</v>
      </c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5" t="str">
        <f>IF(I93&lt;10,"mindestens 10 von diesem Artikel",(Y93+IF(I93&lt;25,E93,IF(I93&lt;50,F93,IF(I93&lt;100,G93,H93))))/$C$27/$A$27)</f>
        <v>mindestens 10 von diesem Artikel</v>
      </c>
      <c r="X93" s="45" t="str">
        <f>IF($C$26&lt;20,"20 Oberteile!",IF(I93&lt;10,"10 von einer Sorte",IF(I93&lt;10,0,W93*I93)))</f>
        <v>20 Oberteile!</v>
      </c>
      <c r="Y93" s="6">
        <f>SUM(Z93:AC93)</f>
        <v>7.99</v>
      </c>
      <c r="Z93" s="6">
        <f>VLOOKUP(C93,$AC$49:$AD$61,2,FALSE)</f>
        <v>7.99</v>
      </c>
      <c r="AA93" s="6"/>
      <c r="AB93" s="6">
        <f>VLOOKUP(D93,$AC$77:$AD$78,2,FALSE)</f>
        <v>0</v>
      </c>
      <c r="AC93" s="6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25.5" customHeight="1" x14ac:dyDescent="0.25">
      <c r="A94" s="21" t="s">
        <v>123</v>
      </c>
      <c r="B94" s="54"/>
      <c r="C94" s="55"/>
      <c r="D94" s="55"/>
      <c r="E94" s="56"/>
      <c r="F94" s="56"/>
      <c r="G94" s="56"/>
      <c r="H94" s="56"/>
      <c r="I94" s="57"/>
      <c r="J94" s="58"/>
      <c r="K94" s="58"/>
      <c r="L94" s="38"/>
      <c r="M94" s="38"/>
      <c r="N94" s="38"/>
      <c r="O94" s="38"/>
      <c r="P94" s="38"/>
      <c r="Q94" s="38"/>
      <c r="R94" s="38"/>
      <c r="S94" s="38"/>
      <c r="T94" s="39"/>
      <c r="U94" s="39"/>
      <c r="V94" s="39"/>
      <c r="W94" s="40"/>
      <c r="X94" s="40"/>
      <c r="Y94" s="6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5.75" x14ac:dyDescent="0.25">
      <c r="A95" s="43" t="s">
        <v>151</v>
      </c>
      <c r="B95" s="44" t="s">
        <v>163</v>
      </c>
      <c r="C95" s="44" t="s">
        <v>134</v>
      </c>
      <c r="D95" s="50"/>
      <c r="E95" s="45">
        <v>79.989999999999995</v>
      </c>
      <c r="F95" s="45">
        <v>71.989999999999995</v>
      </c>
      <c r="G95" s="45">
        <v>68.489999999999995</v>
      </c>
      <c r="H95" s="45">
        <f t="shared" ref="H95" si="12">G95*H89/G89</f>
        <v>63.695699999999995</v>
      </c>
      <c r="I95" s="46">
        <f>SUM(J95:V95)</f>
        <v>10</v>
      </c>
      <c r="J95" s="47"/>
      <c r="K95" s="47"/>
      <c r="L95" s="47"/>
      <c r="M95" s="47"/>
      <c r="N95" s="47"/>
      <c r="O95" s="47"/>
      <c r="P95" s="47">
        <v>10</v>
      </c>
      <c r="Q95" s="47"/>
      <c r="R95" s="47"/>
      <c r="S95" s="47"/>
      <c r="T95" s="47"/>
      <c r="U95" s="47"/>
      <c r="V95" s="47"/>
      <c r="W95" s="45">
        <f>IF(I95&lt;10,"mindestens 10 von diesem Artikel",(Y95+IF(I95&lt;25,E95,IF(I95&lt;50,F95,IF(I95&lt;100,G95,H95))))/$C$27/$A$27)</f>
        <v>87.97999999999999</v>
      </c>
      <c r="X95" s="45">
        <f>IF($C$26&lt;10,"20 Oberteile!",IF(I95&lt;10,"10 von einer Sorte",W95*I95))</f>
        <v>879.8</v>
      </c>
      <c r="Y95" s="6">
        <f>SUM(Z95:AC95)</f>
        <v>7.99</v>
      </c>
      <c r="Z95" s="6">
        <f>VLOOKUP(C95,$AC$49:$AD$61,2,FALSE)</f>
        <v>7.99</v>
      </c>
      <c r="AA95" s="6"/>
      <c r="AB95" s="6"/>
      <c r="AC95" s="6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5.75" x14ac:dyDescent="0.25">
      <c r="A96" s="43" t="s">
        <v>151</v>
      </c>
      <c r="B96" s="44" t="s">
        <v>147</v>
      </c>
      <c r="C96" s="44" t="s">
        <v>134</v>
      </c>
      <c r="D96" s="50"/>
      <c r="E96" s="45">
        <f>E95</f>
        <v>79.989999999999995</v>
      </c>
      <c r="F96" s="45">
        <f>F95</f>
        <v>71.989999999999995</v>
      </c>
      <c r="G96" s="45">
        <f>G95</f>
        <v>68.489999999999995</v>
      </c>
      <c r="H96" s="45">
        <f>H95</f>
        <v>63.695699999999995</v>
      </c>
      <c r="I96" s="46">
        <f>SUM(J96:V96)</f>
        <v>0</v>
      </c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5" t="str">
        <f>IF(I96&lt;10,"mindestens 10 von diesem Artikel",(Y96+IF(I96&lt;25,E96,IF(I96&lt;50,F96,IF(I96&lt;100,G96,H96))))/$C$27/$A$27)</f>
        <v>mindestens 10 von diesem Artikel</v>
      </c>
      <c r="X96" s="45" t="str">
        <f>IF($C$26&lt;10,"20 Oberteile!",IF(I96&lt;10,"10 von einer Sorte",W96*I96))</f>
        <v>10 von einer Sorte</v>
      </c>
      <c r="Y96" s="6">
        <f>SUM(Z96:AC96)</f>
        <v>7.99</v>
      </c>
      <c r="Z96" s="6">
        <f>VLOOKUP(C96,$AC$49:$AD$61,2,FALSE)</f>
        <v>7.99</v>
      </c>
      <c r="AA96" s="6"/>
      <c r="AB96" s="6"/>
      <c r="AC96" s="6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26.25" x14ac:dyDescent="0.4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6">
        <f>SUM(X34:X96)</f>
        <v>879.8</v>
      </c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27.75" x14ac:dyDescent="0.4">
      <c r="A98" s="118"/>
      <c r="B98" s="63"/>
      <c r="C98" s="26" t="s">
        <v>83</v>
      </c>
      <c r="D98" s="26"/>
      <c r="E98" s="64"/>
      <c r="F98" s="64"/>
      <c r="G98" s="64"/>
      <c r="H98" s="64"/>
      <c r="I98" s="64"/>
      <c r="J98" s="64"/>
      <c r="K98" s="64"/>
      <c r="L98" s="64"/>
      <c r="M98" s="64"/>
      <c r="N98" s="144" t="str">
        <f>IF(Y184&lt;2000,"Mindestbestellwert von 2000€ noch nicht erreicht","")</f>
        <v>Mindestbestellwert von 2000€ noch nicht erreicht</v>
      </c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6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27.75" x14ac:dyDescent="0.4">
      <c r="A99" s="119" t="s">
        <v>61</v>
      </c>
      <c r="B99" s="152" t="s">
        <v>46</v>
      </c>
      <c r="C99" s="153"/>
      <c r="D99" s="26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5.75" hidden="1" x14ac:dyDescent="0.25">
      <c r="A100" s="119" t="s">
        <v>84</v>
      </c>
      <c r="B100" s="25"/>
      <c r="C100" s="65">
        <f>SUM(I106:I135)</f>
        <v>10</v>
      </c>
      <c r="D100" s="65"/>
      <c r="E100" s="15"/>
      <c r="F100" s="15"/>
      <c r="G100" s="15"/>
      <c r="H100" s="15"/>
      <c r="I100" s="66"/>
      <c r="J100" s="66"/>
      <c r="K100" s="66"/>
      <c r="L100" s="42"/>
      <c r="M100" s="42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7"/>
      <c r="Z100" s="10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5.75" hidden="1" customHeight="1" x14ac:dyDescent="0.25">
      <c r="A101" s="68"/>
      <c r="B101" s="69"/>
      <c r="C101" s="70"/>
      <c r="D101" s="70"/>
      <c r="E101" s="15"/>
      <c r="F101" s="15"/>
      <c r="G101" s="15"/>
      <c r="H101" s="15"/>
      <c r="I101" s="66"/>
      <c r="J101" s="66"/>
      <c r="K101" s="66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6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5.75" hidden="1" customHeight="1" x14ac:dyDescent="0.25">
      <c r="A102" s="119" t="s">
        <v>10</v>
      </c>
      <c r="B102" s="25"/>
      <c r="C102" s="44" t="s">
        <v>85</v>
      </c>
      <c r="D102" s="71"/>
      <c r="E102" s="15"/>
      <c r="F102" s="15"/>
      <c r="G102" s="15"/>
      <c r="H102" s="15"/>
      <c r="I102" s="66"/>
      <c r="J102" s="66"/>
      <c r="K102" s="66"/>
      <c r="L102" s="154"/>
      <c r="M102" s="154"/>
      <c r="N102" s="154"/>
      <c r="O102" s="154"/>
      <c r="P102" s="154"/>
      <c r="Q102" s="154"/>
      <c r="R102" s="154"/>
      <c r="S102" s="154"/>
      <c r="T102" s="154"/>
      <c r="U102" s="117"/>
      <c r="V102" s="117"/>
      <c r="W102" s="15"/>
      <c r="X102" s="15"/>
      <c r="Y102" s="6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x14ac:dyDescent="0.2">
      <c r="A103" s="15"/>
      <c r="B103" s="18"/>
      <c r="C103" s="15"/>
      <c r="D103" s="15"/>
      <c r="E103" s="15"/>
      <c r="F103" s="15"/>
      <c r="G103" s="15"/>
      <c r="H103" s="15"/>
      <c r="I103" s="66"/>
      <c r="J103" s="66"/>
      <c r="K103" s="6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6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x14ac:dyDescent="0.2">
      <c r="A104" s="15"/>
      <c r="B104" s="18"/>
      <c r="C104" s="15"/>
      <c r="D104" s="15"/>
      <c r="E104" s="15"/>
      <c r="F104" s="15"/>
      <c r="G104" s="15"/>
      <c r="H104" s="15"/>
      <c r="I104" s="66"/>
      <c r="J104" s="66"/>
      <c r="K104" s="6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6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5.75" x14ac:dyDescent="0.25">
      <c r="A105" s="21" t="s">
        <v>86</v>
      </c>
      <c r="B105" s="33" t="s">
        <v>18</v>
      </c>
      <c r="C105" s="33" t="s">
        <v>87</v>
      </c>
      <c r="D105" s="33" t="s">
        <v>61</v>
      </c>
      <c r="E105" s="34">
        <v>10</v>
      </c>
      <c r="F105" s="34">
        <v>25</v>
      </c>
      <c r="G105" s="34">
        <v>50</v>
      </c>
      <c r="H105" s="34">
        <v>100</v>
      </c>
      <c r="I105" s="34" t="s">
        <v>21</v>
      </c>
      <c r="J105" s="34" t="s">
        <v>122</v>
      </c>
      <c r="K105" s="34" t="s">
        <v>22</v>
      </c>
      <c r="L105" s="34" t="s">
        <v>23</v>
      </c>
      <c r="M105" s="34" t="s">
        <v>24</v>
      </c>
      <c r="N105" s="34" t="s">
        <v>88</v>
      </c>
      <c r="O105" s="34" t="s">
        <v>26</v>
      </c>
      <c r="P105" s="34" t="s">
        <v>27</v>
      </c>
      <c r="Q105" s="34" t="s">
        <v>28</v>
      </c>
      <c r="R105" s="34" t="s">
        <v>29</v>
      </c>
      <c r="S105" s="34" t="s">
        <v>30</v>
      </c>
      <c r="T105" s="48" t="s">
        <v>56</v>
      </c>
      <c r="U105" s="48" t="s">
        <v>32</v>
      </c>
      <c r="V105" s="48" t="s">
        <v>33</v>
      </c>
      <c r="W105" s="35" t="s">
        <v>34</v>
      </c>
      <c r="X105" s="35" t="s">
        <v>35</v>
      </c>
      <c r="Y105" s="6" t="s">
        <v>89</v>
      </c>
      <c r="Z105" s="6" t="s">
        <v>90</v>
      </c>
      <c r="AA105" s="1" t="s">
        <v>18</v>
      </c>
      <c r="AB105" s="1" t="s">
        <v>61</v>
      </c>
      <c r="AC105" s="1" t="s">
        <v>124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5.75" x14ac:dyDescent="0.25">
      <c r="A106" s="120" t="s">
        <v>91</v>
      </c>
      <c r="B106" s="44" t="s">
        <v>163</v>
      </c>
      <c r="C106" s="44" t="s">
        <v>134</v>
      </c>
      <c r="D106" s="50" t="s">
        <v>46</v>
      </c>
      <c r="E106" s="72">
        <f>43.99+1.99+3.99</f>
        <v>49.970000000000006</v>
      </c>
      <c r="F106" s="72">
        <f>E106*F95/E95</f>
        <v>44.972375296912119</v>
      </c>
      <c r="G106" s="72">
        <f>F106*G95/F95</f>
        <v>42.785914489311168</v>
      </c>
      <c r="H106" s="72">
        <f>G106*H95/G95</f>
        <v>39.790900475059381</v>
      </c>
      <c r="I106" s="46">
        <f t="shared" ref="I106:I111" si="13">SUM(J106:V106)</f>
        <v>10</v>
      </c>
      <c r="J106" s="47"/>
      <c r="K106" s="47"/>
      <c r="L106" s="47"/>
      <c r="M106" s="47"/>
      <c r="N106" s="47"/>
      <c r="O106" s="47"/>
      <c r="P106" s="47">
        <v>10</v>
      </c>
      <c r="Q106" s="47"/>
      <c r="R106" s="47"/>
      <c r="S106" s="47"/>
      <c r="T106" s="47"/>
      <c r="U106" s="47"/>
      <c r="V106" s="47"/>
      <c r="W106" s="45">
        <f t="shared" ref="W106:W108" si="14">IF($AC$106&lt;10,"mindestens 10 von diesem Artikel",(Y106+(IF($AC$106&lt;25,E106,IF($AC$106&lt;50,F106,IF($AC$106&lt;100,G106,H106)))))/$C$27/$A$27)</f>
        <v>57.960000000000008</v>
      </c>
      <c r="X106" s="45">
        <f>IF($C$100&lt;10,"20 Hosen!",IF($AC$106&lt;10,"10 von einer Sorte",IF(I106=0,0,W106*I106)))</f>
        <v>579.60000000000014</v>
      </c>
      <c r="Y106" s="11">
        <f t="shared" ref="Y106:Y111" si="15">SUM(Z106:AB106)</f>
        <v>7.99</v>
      </c>
      <c r="Z106" s="6">
        <f>VLOOKUP(C106,$AC$49:$AD$63,2,FALSE)</f>
        <v>7.99</v>
      </c>
      <c r="AA106" s="6"/>
      <c r="AB106" s="6"/>
      <c r="AC106" s="115">
        <f>SUM(I106:I108)</f>
        <v>10</v>
      </c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5.75" x14ac:dyDescent="0.25">
      <c r="A107" s="120" t="s">
        <v>91</v>
      </c>
      <c r="B107" s="44" t="s">
        <v>147</v>
      </c>
      <c r="C107" s="44" t="s">
        <v>134</v>
      </c>
      <c r="D107" s="50" t="s">
        <v>46</v>
      </c>
      <c r="E107" s="72">
        <f>E106</f>
        <v>49.970000000000006</v>
      </c>
      <c r="F107" s="72">
        <f t="shared" ref="F107:H107" si="16">F106</f>
        <v>44.972375296912119</v>
      </c>
      <c r="G107" s="72">
        <f t="shared" si="16"/>
        <v>42.785914489311168</v>
      </c>
      <c r="H107" s="72">
        <f t="shared" si="16"/>
        <v>39.790900475059381</v>
      </c>
      <c r="I107" s="46">
        <f t="shared" si="13"/>
        <v>0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5">
        <f t="shared" si="14"/>
        <v>57.960000000000008</v>
      </c>
      <c r="X107" s="45">
        <f>IF($C$100&lt;10,"20 Hosen!",IF($AC$106&lt;10,"10 von einer Sorte",IF(I107=0,0,W107*I107)))</f>
        <v>0</v>
      </c>
      <c r="Y107" s="11">
        <f t="shared" si="15"/>
        <v>7.99</v>
      </c>
      <c r="Z107" s="6">
        <f t="shared" ref="Z107:Z111" si="17">VLOOKUP(C107,$AC$49:$AD$63,2,FALSE)</f>
        <v>7.99</v>
      </c>
      <c r="AA107" s="6"/>
      <c r="AB107" s="6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5.75" x14ac:dyDescent="0.25">
      <c r="A108" s="120" t="s">
        <v>91</v>
      </c>
      <c r="B108" s="44" t="s">
        <v>147</v>
      </c>
      <c r="C108" s="44" t="s">
        <v>55</v>
      </c>
      <c r="D108" s="50" t="s">
        <v>46</v>
      </c>
      <c r="E108" s="72">
        <f>E107</f>
        <v>49.970000000000006</v>
      </c>
      <c r="F108" s="72">
        <f t="shared" ref="F108" si="18">F107</f>
        <v>44.972375296912119</v>
      </c>
      <c r="G108" s="72">
        <f t="shared" ref="G108" si="19">G107</f>
        <v>42.785914489311168</v>
      </c>
      <c r="H108" s="72">
        <f t="shared" ref="H108" si="20">H107</f>
        <v>39.790900475059381</v>
      </c>
      <c r="I108" s="46">
        <f t="shared" si="13"/>
        <v>0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5">
        <f t="shared" si="14"/>
        <v>69.960000000000008</v>
      </c>
      <c r="X108" s="45" t="str">
        <f>IF($C$100&lt;20,"20 Hosen!",IF($AC$106&lt;10,"10 von einer Sorte",IF(I108=0,0,W108*I108)))</f>
        <v>20 Hosen!</v>
      </c>
      <c r="Y108" s="11">
        <f t="shared" si="15"/>
        <v>19.989999999999998</v>
      </c>
      <c r="Z108" s="6">
        <f t="shared" si="17"/>
        <v>19.989999999999998</v>
      </c>
      <c r="AA108" s="6"/>
      <c r="AB108" s="6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5.75" x14ac:dyDescent="0.25">
      <c r="A109" s="120" t="s">
        <v>162</v>
      </c>
      <c r="B109" s="44" t="s">
        <v>147</v>
      </c>
      <c r="C109" s="44" t="s">
        <v>135</v>
      </c>
      <c r="D109" s="50" t="s">
        <v>46</v>
      </c>
      <c r="E109" s="45">
        <v>99.97</v>
      </c>
      <c r="F109" s="45">
        <v>88.97</v>
      </c>
      <c r="G109" s="45">
        <v>79.989999999999995</v>
      </c>
      <c r="H109" s="45">
        <v>75.989999999999995</v>
      </c>
      <c r="I109" s="46">
        <f t="shared" si="13"/>
        <v>0</v>
      </c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5" t="str">
        <f>IF($AC$109&lt;10,"mindestens 10 von diesem Artikel",(Y109+(IF($AC$106&lt;25,E109,IF($AC$106&lt;50,F109,IF($AC$106&lt;100,G109,H109)))))/$C$27/$A$27)</f>
        <v>mindestens 10 von diesem Artikel</v>
      </c>
      <c r="X109" s="45" t="str">
        <f>IF($C$100&lt;20,"20 Hosen!",IF($AC$109&lt;10,"10 von einer Sorte",IF(I109=0,0,W109*I109)))</f>
        <v>20 Hosen!</v>
      </c>
      <c r="Y109" s="6">
        <f t="shared" si="15"/>
        <v>7.99</v>
      </c>
      <c r="Z109" s="6">
        <f t="shared" si="17"/>
        <v>7.99</v>
      </c>
      <c r="AA109" s="6"/>
      <c r="AB109" s="6"/>
      <c r="AC109" s="115">
        <f>SUM(I109:I111)</f>
        <v>0</v>
      </c>
      <c r="AD109" s="123"/>
      <c r="AE109" s="123"/>
      <c r="AF109" s="124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5.75" x14ac:dyDescent="0.25">
      <c r="A110" s="120" t="s">
        <v>162</v>
      </c>
      <c r="B110" s="44" t="s">
        <v>147</v>
      </c>
      <c r="C110" s="44" t="s">
        <v>134</v>
      </c>
      <c r="D110" s="50" t="s">
        <v>46</v>
      </c>
      <c r="E110" s="45">
        <f>E109</f>
        <v>99.97</v>
      </c>
      <c r="F110" s="45">
        <f t="shared" ref="F110:H110" si="21">F109</f>
        <v>88.97</v>
      </c>
      <c r="G110" s="45">
        <f t="shared" si="21"/>
        <v>79.989999999999995</v>
      </c>
      <c r="H110" s="45">
        <f t="shared" si="21"/>
        <v>75.989999999999995</v>
      </c>
      <c r="I110" s="46">
        <f t="shared" si="13"/>
        <v>0</v>
      </c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5" t="str">
        <f>IF($AC$109&lt;10,"mindestens 10 von diesem Artikel",(Y110+(IF($AC$106&lt;25,E110,IF($AC$106&lt;50,F110,IF($AC$106&lt;100,G110,H110)))))/$C$27/$A$27)</f>
        <v>mindestens 10 von diesem Artikel</v>
      </c>
      <c r="X110" s="45" t="str">
        <f t="shared" ref="X110:X111" si="22">IF($C$100&lt;20,"20 Hosen!",IF($AC$109&lt;10,"10 von einer Sorte",IF(I110=0,0,W110*I110)))</f>
        <v>20 Hosen!</v>
      </c>
      <c r="Y110" s="6">
        <f t="shared" si="15"/>
        <v>7.99</v>
      </c>
      <c r="Z110" s="6">
        <f t="shared" si="17"/>
        <v>7.99</v>
      </c>
      <c r="AA110" s="6"/>
      <c r="AB110" s="6"/>
      <c r="AC110" s="123"/>
      <c r="AD110" s="123"/>
      <c r="AE110" s="123"/>
      <c r="AF110" s="124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5.75" x14ac:dyDescent="0.25">
      <c r="A111" s="120" t="s">
        <v>162</v>
      </c>
      <c r="B111" s="44" t="s">
        <v>147</v>
      </c>
      <c r="C111" s="44" t="s">
        <v>134</v>
      </c>
      <c r="D111" s="50" t="s">
        <v>46</v>
      </c>
      <c r="E111" s="45">
        <f>E109</f>
        <v>99.97</v>
      </c>
      <c r="F111" s="45">
        <f t="shared" ref="F111:H111" si="23">F109</f>
        <v>88.97</v>
      </c>
      <c r="G111" s="45">
        <f t="shared" si="23"/>
        <v>79.989999999999995</v>
      </c>
      <c r="H111" s="45">
        <f t="shared" si="23"/>
        <v>75.989999999999995</v>
      </c>
      <c r="I111" s="46">
        <f t="shared" si="13"/>
        <v>0</v>
      </c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5" t="str">
        <f>IF($AC$109&lt;10,"mindestens 10 von diesem Artikel",(Y111+(IF($AC$106&lt;25,E111,IF($AC$106&lt;50,F111,IF($AC$106&lt;100,G111,H111)))))/$C$27/$A$27)</f>
        <v>mindestens 10 von diesem Artikel</v>
      </c>
      <c r="X111" s="45" t="str">
        <f t="shared" si="22"/>
        <v>20 Hosen!</v>
      </c>
      <c r="Y111" s="6">
        <f t="shared" si="15"/>
        <v>7.99</v>
      </c>
      <c r="Z111" s="6">
        <f t="shared" si="17"/>
        <v>7.99</v>
      </c>
      <c r="AA111" s="6"/>
      <c r="AB111" s="6"/>
      <c r="AC111" s="123"/>
      <c r="AD111" s="123"/>
      <c r="AE111" s="123"/>
      <c r="AF111" s="124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.75" x14ac:dyDescent="0.25">
      <c r="A112" s="21"/>
      <c r="B112" s="14"/>
      <c r="C112" s="21"/>
      <c r="D112" s="21"/>
      <c r="E112" s="42"/>
      <c r="F112" s="42"/>
      <c r="G112" s="42"/>
      <c r="H112" s="42"/>
      <c r="I112" s="21"/>
      <c r="J112" s="15"/>
      <c r="K112" s="15"/>
      <c r="L112" s="15"/>
      <c r="M112" s="15"/>
      <c r="N112" s="15"/>
      <c r="O112" s="15"/>
      <c r="P112" s="15"/>
      <c r="Q112" s="15"/>
      <c r="S112" s="15"/>
      <c r="T112" s="15"/>
      <c r="U112" s="15"/>
      <c r="V112" s="15"/>
      <c r="W112" s="15"/>
      <c r="X112" s="15"/>
      <c r="Y112" s="6"/>
      <c r="Z112" s="6"/>
      <c r="AA112" s="6"/>
      <c r="AB112" s="6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5.75" hidden="1" x14ac:dyDescent="0.25">
      <c r="A113" s="43" t="s">
        <v>92</v>
      </c>
      <c r="B113" s="44" t="s">
        <v>121</v>
      </c>
      <c r="C113" s="44" t="s">
        <v>143</v>
      </c>
      <c r="D113" s="50" t="s">
        <v>46</v>
      </c>
      <c r="E113" s="72">
        <f>33.99+1.99+3.99</f>
        <v>39.970000000000006</v>
      </c>
      <c r="F113" s="72">
        <f>E113*F106/E106</f>
        <v>35.972500312539069</v>
      </c>
      <c r="G113" s="72">
        <f t="shared" ref="G113:H113" si="24">F113*G106/F106</f>
        <v>34.223594199274906</v>
      </c>
      <c r="H113" s="72">
        <f t="shared" si="24"/>
        <v>31.82794260532566</v>
      </c>
      <c r="I113" s="46">
        <f>SUM(J113:V113)</f>
        <v>0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5" t="str">
        <f>IF(I113+I116&lt;10,"mindestens 10 von diesem Artikel",(Y113+(IF(I113&lt;25,E113,IF(I113&lt;50,F113,IF(I113&lt;100,G113,H113)))))/$C$27/$A$27)</f>
        <v>mindestens 10 von diesem Artikel</v>
      </c>
      <c r="X113" s="45" t="str">
        <f>IF($C$100&lt;20,"20 Hosen!",IF(I113+I114&lt;10,"10 von einer Sorte",IF(I113=0,0,W113*I113)))</f>
        <v>20 Hosen!</v>
      </c>
      <c r="Y113" s="11">
        <f>SUM(Z113:AB113)</f>
        <v>0</v>
      </c>
      <c r="Z113" s="6">
        <f>VLOOKUP(C113,$AC$49:$AD$61,2,FALSE)</f>
        <v>0</v>
      </c>
      <c r="AA113" s="6"/>
      <c r="AB113" s="6"/>
      <c r="AC113" s="115">
        <f>SUM(I113:I114)</f>
        <v>0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5.75" hidden="1" customHeight="1" x14ac:dyDescent="0.25">
      <c r="A114" s="43" t="s">
        <v>92</v>
      </c>
      <c r="B114" s="44" t="s">
        <v>121</v>
      </c>
      <c r="C114" s="44" t="s">
        <v>54</v>
      </c>
      <c r="D114" s="50" t="s">
        <v>46</v>
      </c>
      <c r="E114" s="72">
        <v>43.99</v>
      </c>
      <c r="F114" s="72">
        <v>40.99</v>
      </c>
      <c r="G114" s="72">
        <v>36.590000000000003</v>
      </c>
      <c r="H114" s="72">
        <v>35.489999999999995</v>
      </c>
      <c r="I114" s="46">
        <f>SUM(J114:V114)</f>
        <v>0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5" t="str">
        <f>IF(I114+I119&lt;10,"mindestens 10 von diesem Artikel",(Y114+(IF(I114&lt;25,E114,IF(I114&lt;50,F114,IF(I114&lt;100,G114,H114)))))/$C$27/$A$27)</f>
        <v>mindestens 10 von diesem Artikel</v>
      </c>
      <c r="X114" s="45" t="str">
        <f>IF($C$100&lt;20,"20 Hosen!",IF(I114+I115&lt;10,"10 von einer Sorte",IF(I114=0,0,W114*I114)))</f>
        <v>20 Hosen!</v>
      </c>
      <c r="Y114" s="11">
        <f>SUM(Z114:AB114)</f>
        <v>5.99</v>
      </c>
      <c r="Z114" s="6">
        <f>VLOOKUP(C114,$AC$49:$AD$61,2,FALSE)</f>
        <v>5.99</v>
      </c>
      <c r="AA114" s="6"/>
      <c r="AB114" s="6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23.25" customHeight="1" x14ac:dyDescent="0.25">
      <c r="A115" s="21" t="s">
        <v>127</v>
      </c>
      <c r="B115" s="14"/>
      <c r="C115" s="21"/>
      <c r="D115" s="21"/>
      <c r="E115" s="42"/>
      <c r="F115" s="42"/>
      <c r="G115" s="42"/>
      <c r="H115" s="42"/>
      <c r="I115" s="21"/>
      <c r="J115" s="15"/>
      <c r="K115" s="15"/>
      <c r="L115" s="15"/>
      <c r="M115" s="15"/>
      <c r="N115" s="15"/>
      <c r="O115" s="15"/>
      <c r="P115" s="15"/>
      <c r="Q115" s="15"/>
      <c r="S115" s="15"/>
      <c r="T115" s="15"/>
      <c r="U115" s="15"/>
      <c r="V115" s="15"/>
      <c r="W115" s="15"/>
      <c r="X115" s="15"/>
      <c r="Z115" s="6"/>
      <c r="AA115" s="6"/>
      <c r="AB115" s="6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5.75" x14ac:dyDescent="0.25">
      <c r="A116" s="43" t="s">
        <v>93</v>
      </c>
      <c r="B116" s="44" t="s">
        <v>147</v>
      </c>
      <c r="C116" s="44" t="s">
        <v>57</v>
      </c>
      <c r="D116" s="50" t="s">
        <v>46</v>
      </c>
      <c r="E116" s="72">
        <f t="shared" ref="E116:H118" si="25">E106</f>
        <v>49.970000000000006</v>
      </c>
      <c r="F116" s="72">
        <f t="shared" si="25"/>
        <v>44.972375296912119</v>
      </c>
      <c r="G116" s="72">
        <f t="shared" si="25"/>
        <v>42.785914489311168</v>
      </c>
      <c r="H116" s="72">
        <f t="shared" si="25"/>
        <v>39.790900475059381</v>
      </c>
      <c r="I116" s="46">
        <f t="shared" ref="I116:I121" si="26">SUM(J116:V116)</f>
        <v>0</v>
      </c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5" t="str">
        <f>IF($AC$116&lt;10,"mindestens 10 von diesem Artikel",(Y116+(IF($AC$116&lt;25,E116,IF($AC$116&lt;50,F116,IF($AC$116&lt;100,G116,H116)))))/$C$27/$A$27)</f>
        <v>mindestens 10 von diesem Artikel</v>
      </c>
      <c r="X116" s="45" t="str">
        <f>IF($C$100&lt;20,"20 Hosen!",IF($AC$116&lt;10,"10 von einer Sorte",IF(I116=0,0,W116*I116)))</f>
        <v>20 Hosen!</v>
      </c>
      <c r="Y116" s="11">
        <f t="shared" ref="Y116:Y121" si="27">SUM(Z116:AB116)</f>
        <v>5.99</v>
      </c>
      <c r="Z116" s="6">
        <f>VLOOKUP(C116,$AC$49:$AD$63,2,FALSE)</f>
        <v>5.99</v>
      </c>
      <c r="AA116" s="6"/>
      <c r="AB116" s="6"/>
      <c r="AC116" s="115">
        <f>SUM(I116:I118)</f>
        <v>0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5.75" x14ac:dyDescent="0.25">
      <c r="A117" s="43" t="s">
        <v>93</v>
      </c>
      <c r="B117" s="44" t="s">
        <v>146</v>
      </c>
      <c r="C117" s="44" t="s">
        <v>133</v>
      </c>
      <c r="D117" s="50" t="s">
        <v>46</v>
      </c>
      <c r="E117" s="72">
        <f t="shared" si="25"/>
        <v>49.970000000000006</v>
      </c>
      <c r="F117" s="72">
        <f t="shared" si="25"/>
        <v>44.972375296912119</v>
      </c>
      <c r="G117" s="72">
        <f t="shared" si="25"/>
        <v>42.785914489311168</v>
      </c>
      <c r="H117" s="72">
        <f t="shared" si="25"/>
        <v>39.790900475059381</v>
      </c>
      <c r="I117" s="46">
        <f t="shared" si="26"/>
        <v>0</v>
      </c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5" t="str">
        <f>IF($AC$116&lt;10,"mindestens 10 von diesem Artikel",(Y117+(IF($AC$116&lt;25,E117,IF($AC$116&lt;50,F117,IF($AC$116&lt;100,G117,H117)))))/$C$27/$A$27)</f>
        <v>mindestens 10 von diesem Artikel</v>
      </c>
      <c r="X117" s="45" t="str">
        <f>IF($C$100&lt;20,"20 Hosen!",IF($AC$116&lt;10,"10 von einer Sorte",IF(I117=0,0,W117*I117)))</f>
        <v>20 Hosen!</v>
      </c>
      <c r="Y117" s="11">
        <f t="shared" si="27"/>
        <v>17.989999999999998</v>
      </c>
      <c r="Z117" s="6">
        <f t="shared" ref="Z117:Z121" si="28">VLOOKUP(C117,$AC$49:$AD$63,2,FALSE)</f>
        <v>17.989999999999998</v>
      </c>
      <c r="AA117" s="6"/>
      <c r="AB117" s="6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5.75" x14ac:dyDescent="0.25">
      <c r="A118" s="43" t="s">
        <v>93</v>
      </c>
      <c r="B118" s="44" t="s">
        <v>146</v>
      </c>
      <c r="C118" s="44" t="s">
        <v>133</v>
      </c>
      <c r="D118" s="50" t="s">
        <v>46</v>
      </c>
      <c r="E118" s="72">
        <f t="shared" si="25"/>
        <v>49.970000000000006</v>
      </c>
      <c r="F118" s="72">
        <f t="shared" si="25"/>
        <v>44.972375296912119</v>
      </c>
      <c r="G118" s="72">
        <f t="shared" si="25"/>
        <v>42.785914489311168</v>
      </c>
      <c r="H118" s="72">
        <f t="shared" si="25"/>
        <v>39.790900475059381</v>
      </c>
      <c r="I118" s="46">
        <f t="shared" si="26"/>
        <v>0</v>
      </c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5" t="str">
        <f>IF($AC$116&lt;10,"mindestens 10 von diesem Artikel",(Y118+(IF($AC$116&lt;25,E118,IF($AC$116&lt;50,F118,IF($AC$116&lt;100,G118,H118)))))/$C$27/$A$27)</f>
        <v>mindestens 10 von diesem Artikel</v>
      </c>
      <c r="X118" s="45" t="str">
        <f>IF($C$100&lt;20,"20 Hosen!",IF($AC$116&lt;10,"10 von einer Sorte",IF(I118=0,0,W118*I118)))</f>
        <v>20 Hosen!</v>
      </c>
      <c r="Y118" s="11">
        <f t="shared" si="27"/>
        <v>17.989999999999998</v>
      </c>
      <c r="Z118" s="6">
        <f t="shared" si="28"/>
        <v>17.989999999999998</v>
      </c>
      <c r="AA118" s="6"/>
      <c r="AB118" s="6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5.75" x14ac:dyDescent="0.25">
      <c r="A119" s="43" t="s">
        <v>94</v>
      </c>
      <c r="B119" s="44" t="s">
        <v>147</v>
      </c>
      <c r="C119" s="44" t="s">
        <v>57</v>
      </c>
      <c r="D119" s="50" t="s">
        <v>46</v>
      </c>
      <c r="E119" s="72">
        <f>E113</f>
        <v>39.970000000000006</v>
      </c>
      <c r="F119" s="72">
        <f>F113</f>
        <v>35.972500312539069</v>
      </c>
      <c r="G119" s="72">
        <f>G113</f>
        <v>34.223594199274906</v>
      </c>
      <c r="H119" s="72">
        <f>H113</f>
        <v>31.82794260532566</v>
      </c>
      <c r="I119" s="46">
        <f t="shared" si="26"/>
        <v>0</v>
      </c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5" t="str">
        <f>IF($AC$119&lt;10,"mindestens 10 von diesem Artikel",(Y119+(IF($AC$119&lt;25,E119,IF($AC$119&lt;50,F119,IF($AC$119&lt;100,G119,H119)))))/$C$27/$A$27)</f>
        <v>mindestens 10 von diesem Artikel</v>
      </c>
      <c r="X119" s="45" t="str">
        <f>IF($C$100&lt;20,"20 Hosen!",IF($AC$119&lt;10,"10 von einer Sorte",IF(I119=0,0,W119*I119)))</f>
        <v>20 Hosen!</v>
      </c>
      <c r="Y119" s="11">
        <f t="shared" si="27"/>
        <v>5.99</v>
      </c>
      <c r="Z119" s="6">
        <f t="shared" si="28"/>
        <v>5.99</v>
      </c>
      <c r="AA119" s="6"/>
      <c r="AB119" s="6"/>
      <c r="AC119" s="115">
        <f>SUM(I119:I121)</f>
        <v>0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5.75" x14ac:dyDescent="0.25">
      <c r="A120" s="43" t="s">
        <v>94</v>
      </c>
      <c r="B120" s="44" t="s">
        <v>146</v>
      </c>
      <c r="C120" s="44" t="s">
        <v>57</v>
      </c>
      <c r="D120" s="50" t="s">
        <v>46</v>
      </c>
      <c r="E120" s="72">
        <f>E119</f>
        <v>39.970000000000006</v>
      </c>
      <c r="F120" s="72">
        <f t="shared" ref="F120:H121" si="29">F119</f>
        <v>35.972500312539069</v>
      </c>
      <c r="G120" s="72">
        <f t="shared" si="29"/>
        <v>34.223594199274906</v>
      </c>
      <c r="H120" s="72">
        <f t="shared" si="29"/>
        <v>31.82794260532566</v>
      </c>
      <c r="I120" s="46">
        <f t="shared" si="26"/>
        <v>0</v>
      </c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5" t="str">
        <f>IF($AC$119&lt;10,"mindestens 10 von diesem Artikel",(Y120+(IF($AC$119&lt;25,E120,IF($AC$119&lt;50,F120,IF($AC$119&lt;100,G120,H120)))))/$C$27/$A$27)</f>
        <v>mindestens 10 von diesem Artikel</v>
      </c>
      <c r="X120" s="45" t="str">
        <f>IF($C$100&lt;20,"20 Hosen!",IF($AC$119&lt;10,"10 von einer Sorte",IF(I120=0,0,W120*I120)))</f>
        <v>20 Hosen!</v>
      </c>
      <c r="Y120" s="11">
        <f t="shared" si="27"/>
        <v>5.99</v>
      </c>
      <c r="Z120" s="6">
        <f t="shared" si="28"/>
        <v>5.99</v>
      </c>
      <c r="AA120" s="6"/>
      <c r="AB120" s="6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5.75" x14ac:dyDescent="0.25">
      <c r="A121" s="43" t="s">
        <v>94</v>
      </c>
      <c r="B121" s="44" t="s">
        <v>146</v>
      </c>
      <c r="C121" s="44" t="s">
        <v>133</v>
      </c>
      <c r="D121" s="50" t="s">
        <v>46</v>
      </c>
      <c r="E121" s="72">
        <f>E120</f>
        <v>39.970000000000006</v>
      </c>
      <c r="F121" s="72">
        <f t="shared" si="29"/>
        <v>35.972500312539069</v>
      </c>
      <c r="G121" s="72">
        <f t="shared" si="29"/>
        <v>34.223594199274906</v>
      </c>
      <c r="H121" s="72">
        <f t="shared" si="29"/>
        <v>31.82794260532566</v>
      </c>
      <c r="I121" s="46">
        <f t="shared" si="26"/>
        <v>0</v>
      </c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5" t="str">
        <f>IF($AC$119&lt;10,"mindestens 10 von diesem Artikel",(Y121+(IF($AC$119&lt;25,E121,IF($AC$119&lt;50,F121,IF($AC$119&lt;100,G121,H121)))))/$C$27/$A$27)</f>
        <v>mindestens 10 von diesem Artikel</v>
      </c>
      <c r="X121" s="45" t="str">
        <f>IF($C$100&lt;20,"20 Hosen!",IF($AC$119&lt;10,"10 von einer Sorte",IF(I121=0,0,W121*I121)))</f>
        <v>20 Hosen!</v>
      </c>
      <c r="Y121" s="11">
        <f t="shared" si="27"/>
        <v>17.989999999999998</v>
      </c>
      <c r="Z121" s="6">
        <f t="shared" si="28"/>
        <v>17.989999999999998</v>
      </c>
      <c r="AA121" s="6"/>
      <c r="AB121" s="6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5.75" x14ac:dyDescent="0.25">
      <c r="A122" s="21"/>
      <c r="B122" s="14"/>
      <c r="C122" s="21"/>
      <c r="D122" s="21"/>
      <c r="E122" s="42"/>
      <c r="F122" s="42"/>
      <c r="G122" s="42"/>
      <c r="H122" s="42"/>
      <c r="I122" s="21"/>
      <c r="J122" s="21"/>
      <c r="K122" s="15"/>
      <c r="L122" s="15"/>
      <c r="M122" s="15"/>
      <c r="N122" s="15"/>
      <c r="O122" s="15"/>
      <c r="P122" s="15"/>
      <c r="Q122" s="15"/>
      <c r="R122" s="21"/>
      <c r="S122" s="42"/>
      <c r="T122" s="42"/>
      <c r="U122" s="42"/>
      <c r="V122" s="42"/>
      <c r="W122" s="42"/>
      <c r="X122" s="42"/>
      <c r="Z122" s="6"/>
      <c r="AA122" s="6"/>
      <c r="AB122" s="6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5.75" x14ac:dyDescent="0.25">
      <c r="A123" s="21" t="s">
        <v>95</v>
      </c>
      <c r="B123" s="14"/>
      <c r="C123" s="21"/>
      <c r="D123" s="21"/>
      <c r="E123" s="42"/>
      <c r="F123" s="42"/>
      <c r="G123" s="42"/>
      <c r="H123" s="73"/>
      <c r="I123" s="21"/>
      <c r="J123" s="34" t="s">
        <v>122</v>
      </c>
      <c r="K123" s="34" t="s">
        <v>22</v>
      </c>
      <c r="L123" s="34" t="s">
        <v>23</v>
      </c>
      <c r="M123" s="34" t="s">
        <v>24</v>
      </c>
      <c r="N123" s="34" t="s">
        <v>88</v>
      </c>
      <c r="O123" s="34" t="s">
        <v>26</v>
      </c>
      <c r="P123" s="34" t="s">
        <v>27</v>
      </c>
      <c r="Q123" s="34" t="s">
        <v>28</v>
      </c>
      <c r="R123" s="34" t="s">
        <v>29</v>
      </c>
      <c r="S123" s="34" t="s">
        <v>30</v>
      </c>
      <c r="T123" s="48" t="s">
        <v>56</v>
      </c>
      <c r="U123" s="48" t="s">
        <v>32</v>
      </c>
      <c r="V123" s="48" t="s">
        <v>33</v>
      </c>
      <c r="W123" s="35" t="s">
        <v>34</v>
      </c>
      <c r="X123" s="35" t="s">
        <v>35</v>
      </c>
      <c r="Z123" s="6"/>
      <c r="AA123" s="6"/>
      <c r="AB123" s="6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5.75" x14ac:dyDescent="0.25">
      <c r="A124" s="43" t="s">
        <v>96</v>
      </c>
      <c r="B124" s="44" t="s">
        <v>147</v>
      </c>
      <c r="C124" s="44" t="s">
        <v>143</v>
      </c>
      <c r="D124" s="50" t="s">
        <v>46</v>
      </c>
      <c r="E124" s="72">
        <f>E128-4</f>
        <v>53.99</v>
      </c>
      <c r="F124" s="72">
        <v>48.99</v>
      </c>
      <c r="G124" s="72">
        <v>46.45</v>
      </c>
      <c r="H124" s="72">
        <v>42.45</v>
      </c>
      <c r="I124" s="46">
        <f>SUM(J124:V124)</f>
        <v>0</v>
      </c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5" t="str">
        <f>IF($AC$124&lt;10,"mindestens 10 von diesem Artikel",(Y124+(IF($AC$124&lt;25,E124,IF($AC$124&lt;50,F124,IF($AC$124&lt;100,G124,H124)))))/$C$27/$A$27)</f>
        <v>mindestens 10 von diesem Artikel</v>
      </c>
      <c r="X124" s="45" t="str">
        <f>IF($C$100&lt;20,"20 Hosen!",IF($AC$124&lt;10,"10 von einer Sorte",IF(I124=0,0,W124*I124)))</f>
        <v>20 Hosen!</v>
      </c>
      <c r="Y124" s="11">
        <f>SUM(Z124:AB124)</f>
        <v>1.99</v>
      </c>
      <c r="Z124" s="6">
        <f>VLOOKUP(C124,$AC$49:$AD$63,2,FALSE)</f>
        <v>0</v>
      </c>
      <c r="AA124" s="6">
        <f>VLOOKUP(B124,$AC$39:$AD$40,2,FALSE)</f>
        <v>1.99</v>
      </c>
      <c r="AB124" s="6"/>
      <c r="AC124" s="115">
        <f>SUM(I124:I126)</f>
        <v>0</v>
      </c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5.75" x14ac:dyDescent="0.25">
      <c r="A125" s="43" t="s">
        <v>96</v>
      </c>
      <c r="B125" s="44" t="s">
        <v>147</v>
      </c>
      <c r="C125" s="44" t="s">
        <v>143</v>
      </c>
      <c r="D125" s="50" t="s">
        <v>46</v>
      </c>
      <c r="E125" s="72">
        <f t="shared" ref="E125:E126" si="30">E124</f>
        <v>53.99</v>
      </c>
      <c r="F125" s="72">
        <f>E125*0.9</f>
        <v>48.591000000000001</v>
      </c>
      <c r="G125" s="72">
        <f>F125*0.95</f>
        <v>46.161450000000002</v>
      </c>
      <c r="H125" s="72">
        <f>G125*0.94</f>
        <v>43.391762999999997</v>
      </c>
      <c r="I125" s="46">
        <f>SUM(J125:V125)</f>
        <v>0</v>
      </c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5" t="str">
        <f>IF($AC$124&lt;10,"mindestens 10 von diesem Artikel",(Y125+(IF($AC$124&lt;25,E125,IF($AC$124&lt;50,F125,IF($AC$124&lt;100,G125,H125)))))/$C$27/$A$27)</f>
        <v>mindestens 10 von diesem Artikel</v>
      </c>
      <c r="X125" s="45" t="str">
        <f>IF($C$100&lt;20,"20 Hosen!",IF($AC$124&lt;10,"10 von einer Sorte",IF(I125=0,0,W125*I125)))</f>
        <v>20 Hosen!</v>
      </c>
      <c r="Y125" s="11">
        <f>SUM(Z125:AB125)</f>
        <v>1.99</v>
      </c>
      <c r="Z125" s="6">
        <f t="shared" ref="Z125:Z126" si="31">VLOOKUP(C125,$AC$49:$AD$63,2,FALSE)</f>
        <v>0</v>
      </c>
      <c r="AA125" s="6">
        <f>VLOOKUP(B125,$AC$39:$AD$40,2,FALSE)</f>
        <v>1.99</v>
      </c>
      <c r="AB125" s="6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5.75" customHeight="1" x14ac:dyDescent="0.25">
      <c r="A126" s="43" t="s">
        <v>96</v>
      </c>
      <c r="B126" s="44" t="s">
        <v>147</v>
      </c>
      <c r="C126" s="44" t="s">
        <v>55</v>
      </c>
      <c r="D126" s="50" t="s">
        <v>46</v>
      </c>
      <c r="E126" s="72">
        <f t="shared" si="30"/>
        <v>53.99</v>
      </c>
      <c r="F126" s="72">
        <f>E126*0.9</f>
        <v>48.591000000000001</v>
      </c>
      <c r="G126" s="72">
        <f>F126*0.95</f>
        <v>46.161450000000002</v>
      </c>
      <c r="H126" s="72">
        <f>G126*0.94</f>
        <v>43.391762999999997</v>
      </c>
      <c r="I126" s="46">
        <f>SUM(J126:V126)</f>
        <v>0</v>
      </c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5" t="str">
        <f>IF($AC$124&lt;10,"mindestens 10 von diesem Artikel",(Y126+(IF($AC$124&lt;25,E126,IF($AC$124&lt;50,F126,IF($AC$124&lt;100,G126,H126)))))/$C$27/$A$27)</f>
        <v>mindestens 10 von diesem Artikel</v>
      </c>
      <c r="X126" s="45" t="str">
        <f>IF($C$100&lt;20,"20 Hosen!",IF($AC$124&lt;10,"10 von einer Sorte",IF(I126=0,0,W126*I126)))</f>
        <v>20 Hosen!</v>
      </c>
      <c r="Y126" s="11">
        <f>SUM(Z126:AB126)</f>
        <v>21.979999999999997</v>
      </c>
      <c r="Z126" s="6">
        <f t="shared" si="31"/>
        <v>19.989999999999998</v>
      </c>
      <c r="AA126" s="6">
        <f>VLOOKUP(B126,$AC$39:$AD$40,2,FALSE)</f>
        <v>1.99</v>
      </c>
      <c r="AB126" s="6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5.75" x14ac:dyDescent="0.25">
      <c r="A127" s="60"/>
      <c r="B127" s="14"/>
      <c r="C127" s="21"/>
      <c r="D127" s="21"/>
      <c r="E127" s="42"/>
      <c r="F127" s="42"/>
      <c r="G127" s="42"/>
      <c r="H127" s="42"/>
      <c r="I127" s="21"/>
      <c r="J127" s="15"/>
      <c r="K127" s="15"/>
      <c r="L127" s="15"/>
      <c r="M127" s="15"/>
      <c r="N127" s="15"/>
      <c r="O127" s="15"/>
      <c r="P127" s="15"/>
      <c r="Q127" s="15"/>
      <c r="S127" s="15"/>
      <c r="T127" s="15"/>
      <c r="U127" s="15"/>
      <c r="V127" s="15"/>
      <c r="W127" s="15"/>
      <c r="X127" s="15"/>
      <c r="Z127" s="6"/>
      <c r="AA127" s="6">
        <f t="shared" ref="AA127" si="32">VLOOKUP(B129,$AC$35:$AD$37,2,FALSE)</f>
        <v>0</v>
      </c>
      <c r="AB127" s="6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5.75" x14ac:dyDescent="0.25">
      <c r="A128" s="43" t="s">
        <v>97</v>
      </c>
      <c r="B128" s="44" t="s">
        <v>147</v>
      </c>
      <c r="C128" s="44" t="s">
        <v>143</v>
      </c>
      <c r="D128" s="50" t="s">
        <v>46</v>
      </c>
      <c r="E128" s="72">
        <v>57.99</v>
      </c>
      <c r="F128" s="72">
        <v>52.45</v>
      </c>
      <c r="G128" s="72">
        <v>49.99</v>
      </c>
      <c r="H128" s="72">
        <v>45.99</v>
      </c>
      <c r="I128" s="46">
        <f>SUM(J128:V128)</f>
        <v>0</v>
      </c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5" t="str">
        <f>IF($AC$128&lt;10,"mindestens 10 von diesem Artikel",(Y128+(IF($AC$128&lt;25,E128,IF($AC$128&lt;50,F128,IF($AC$128&lt;100,G128,H128)))))/$C$27/$A$27)</f>
        <v>mindestens 10 von diesem Artikel</v>
      </c>
      <c r="X128" s="45" t="str">
        <f>IF($C$100&lt;20,"20 Hosen!",IF($AC$128&lt;10,"10 von einer Sorte",IF(I128=0,0,W128*I128)))</f>
        <v>20 Hosen!</v>
      </c>
      <c r="Y128" s="11">
        <f>SUM(Z128:AB128)</f>
        <v>1.99</v>
      </c>
      <c r="Z128" s="6">
        <f>VLOOKUP(C128,$AC$49:$AD$63,2,FALSE)</f>
        <v>0</v>
      </c>
      <c r="AA128" s="6">
        <f>VLOOKUP(B128,$AC$39:$AD$40,2,FALSE)</f>
        <v>1.99</v>
      </c>
      <c r="AB128" s="6"/>
      <c r="AC128" s="115">
        <f>SUM(I128:I130)</f>
        <v>0</v>
      </c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5.75" x14ac:dyDescent="0.25">
      <c r="A129" s="43" t="s">
        <v>97</v>
      </c>
      <c r="B129" s="44" t="s">
        <v>147</v>
      </c>
      <c r="C129" s="44" t="s">
        <v>134</v>
      </c>
      <c r="D129" s="50" t="s">
        <v>46</v>
      </c>
      <c r="E129" s="72">
        <f t="shared" ref="E129:H130" si="33">E128</f>
        <v>57.99</v>
      </c>
      <c r="F129" s="72">
        <f t="shared" si="33"/>
        <v>52.45</v>
      </c>
      <c r="G129" s="72">
        <f t="shared" si="33"/>
        <v>49.99</v>
      </c>
      <c r="H129" s="72">
        <f t="shared" si="33"/>
        <v>45.99</v>
      </c>
      <c r="I129" s="46">
        <f>SUM(J129:V129)</f>
        <v>0</v>
      </c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5" t="str">
        <f>IF($AC$128&lt;10,"mindestens 10 von diesem Artikel",(Y129+(IF($AC$128&lt;25,E129,IF($AC$128&lt;50,F129,IF($AC$128&lt;100,G129,H129)))))/$C$27/$A$27)</f>
        <v>mindestens 10 von diesem Artikel</v>
      </c>
      <c r="X129" s="45" t="str">
        <f>IF($C$100&lt;20,"20 Hosen!",IF($AC$128&lt;10,"10 von einer Sorte",IF(I129=0,0,W129*I129)))</f>
        <v>20 Hosen!</v>
      </c>
      <c r="Y129" s="11">
        <f>SUM(Z129:AB129)</f>
        <v>9.98</v>
      </c>
      <c r="Z129" s="6">
        <f t="shared" ref="Z129:Z130" si="34">VLOOKUP(C129,$AC$49:$AD$63,2,FALSE)</f>
        <v>7.99</v>
      </c>
      <c r="AA129" s="6">
        <f>VLOOKUP(B129,$AC$39:$AD$40,2,FALSE)</f>
        <v>1.99</v>
      </c>
      <c r="AB129" s="6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5.75" customHeight="1" x14ac:dyDescent="0.25">
      <c r="A130" s="43" t="s">
        <v>97</v>
      </c>
      <c r="B130" s="44" t="s">
        <v>147</v>
      </c>
      <c r="C130" s="44" t="s">
        <v>55</v>
      </c>
      <c r="D130" s="50" t="s">
        <v>46</v>
      </c>
      <c r="E130" s="72">
        <f t="shared" si="33"/>
        <v>57.99</v>
      </c>
      <c r="F130" s="72">
        <f t="shared" si="33"/>
        <v>52.45</v>
      </c>
      <c r="G130" s="72">
        <f t="shared" si="33"/>
        <v>49.99</v>
      </c>
      <c r="H130" s="72">
        <f t="shared" si="33"/>
        <v>45.99</v>
      </c>
      <c r="I130" s="46">
        <f>SUM(J130:V130)</f>
        <v>0</v>
      </c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5" t="str">
        <f>IF($AC$128&lt;10,"mindestens 10 von diesem Artikel",(Y130+(IF($AC$128&lt;25,E130,IF($AC$128&lt;50,F130,IF($AC$128&lt;100,G130,H130)))))/$C$27/$A$27)</f>
        <v>mindestens 10 von diesem Artikel</v>
      </c>
      <c r="X130" s="45" t="str">
        <f>IF($C$100&lt;20,"20 Hosen!",IF($AC$128&lt;10,"10 von einer Sorte",IF(I130=0,0,W130*I130)))</f>
        <v>20 Hosen!</v>
      </c>
      <c r="Y130" s="11">
        <f>SUM(Z130:AB130)</f>
        <v>21.979999999999997</v>
      </c>
      <c r="Z130" s="6">
        <f t="shared" si="34"/>
        <v>19.989999999999998</v>
      </c>
      <c r="AA130" s="6">
        <f>VLOOKUP(B130,$AC$39:$AD$40,2,FALSE)</f>
        <v>1.99</v>
      </c>
      <c r="AB130" s="6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x14ac:dyDescent="0.2">
      <c r="A131" s="60"/>
      <c r="B131" s="74"/>
      <c r="C131" s="60"/>
      <c r="D131" s="60"/>
      <c r="E131" s="60"/>
      <c r="F131" s="60"/>
      <c r="G131" s="60"/>
      <c r="H131" s="60"/>
      <c r="I131" s="62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15"/>
      <c r="X131" s="15"/>
      <c r="Z131" s="6"/>
      <c r="AA131" s="6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5.75" x14ac:dyDescent="0.25">
      <c r="A132" s="40" t="s">
        <v>98</v>
      </c>
      <c r="B132" s="59"/>
      <c r="C132" s="60"/>
      <c r="D132" s="60"/>
      <c r="E132" s="60"/>
      <c r="F132" s="60"/>
      <c r="G132" s="60"/>
      <c r="H132" s="60"/>
      <c r="I132" s="62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Z132" s="6"/>
      <c r="AA132" s="6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5.75" x14ac:dyDescent="0.25">
      <c r="A133" s="43" t="s">
        <v>99</v>
      </c>
      <c r="B133" s="49"/>
      <c r="C133" s="44" t="s">
        <v>52</v>
      </c>
      <c r="D133" s="50" t="s">
        <v>46</v>
      </c>
      <c r="E133" s="72">
        <v>61.99</v>
      </c>
      <c r="F133" s="72">
        <v>53.99</v>
      </c>
      <c r="G133" s="72">
        <v>51.27</v>
      </c>
      <c r="H133" s="72">
        <v>48.2</v>
      </c>
      <c r="I133" s="46">
        <f>SUM(J133:V133)</f>
        <v>0</v>
      </c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5" t="str">
        <f>IF($AC$133&lt;10,"mindestens 10 von diesem Artikel",(Y133+(IF($AC$133&lt;25,E133,IF($AC$133&lt;50,F133,IF($AC$133&lt;100,G133,H133)))))/$C$27/$A$27)</f>
        <v>mindestens 10 von diesem Artikel</v>
      </c>
      <c r="X133" s="45" t="str">
        <f>IF($C$100&lt;20,"20 Hosen!",IF($AC$133&lt;10,"10 von einer Sorte",IF(I133=0,0,W133*I133)))</f>
        <v>20 Hosen!</v>
      </c>
      <c r="Y133" s="11">
        <f>SUM(Z133:AB133)</f>
        <v>-3.99</v>
      </c>
      <c r="Z133" s="6">
        <f>VLOOKUP(C133,$AC$49:$AD$63,2,FALSE)</f>
        <v>-3.99</v>
      </c>
      <c r="AA133" s="6"/>
      <c r="AB133" s="6"/>
      <c r="AC133" s="115">
        <f>SUM(I133:I136)</f>
        <v>0</v>
      </c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5.75" customHeight="1" x14ac:dyDescent="0.25">
      <c r="A134" s="43" t="s">
        <v>99</v>
      </c>
      <c r="B134" s="49"/>
      <c r="C134" s="44" t="s">
        <v>134</v>
      </c>
      <c r="D134" s="50" t="s">
        <v>46</v>
      </c>
      <c r="E134" s="72">
        <f>E133</f>
        <v>61.99</v>
      </c>
      <c r="F134" s="72">
        <f>F133</f>
        <v>53.99</v>
      </c>
      <c r="G134" s="72">
        <f>G133</f>
        <v>51.27</v>
      </c>
      <c r="H134" s="72">
        <f>H133</f>
        <v>48.2</v>
      </c>
      <c r="I134" s="46">
        <f>SUM(J134:V134)</f>
        <v>0</v>
      </c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5" t="str">
        <f>IF($AC$133&lt;10,"mindestens 10 von diesem Artikel",(Y134+(IF($AC$133&lt;25,E134,IF($AC$133&lt;50,F134,IF($AC$133&lt;100,G134,H134)))))/$C$27/$A$27)</f>
        <v>mindestens 10 von diesem Artikel</v>
      </c>
      <c r="X134" s="45" t="str">
        <f>IF($C$100&lt;20,"20 Hosen!",IF($AC$133&lt;10,"10 von einer Sorte",IF(I134=0,0,W134*I134)))</f>
        <v>20 Hosen!</v>
      </c>
      <c r="Y134" s="11">
        <f>SUM(Z134:AB134)</f>
        <v>7.99</v>
      </c>
      <c r="Z134" s="6">
        <f t="shared" ref="Z134:Z136" si="35">VLOOKUP(C134,$AC$49:$AD$63,2,FALSE)</f>
        <v>7.99</v>
      </c>
      <c r="AA134" s="6"/>
      <c r="AB134" s="6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5.75" customHeight="1" x14ac:dyDescent="0.25">
      <c r="A135" s="43" t="s">
        <v>99</v>
      </c>
      <c r="B135" s="49"/>
      <c r="C135" s="44" t="s">
        <v>134</v>
      </c>
      <c r="D135" s="50" t="s">
        <v>46</v>
      </c>
      <c r="E135" s="72">
        <f t="shared" ref="E135:H136" si="36">E133</f>
        <v>61.99</v>
      </c>
      <c r="F135" s="72">
        <f t="shared" si="36"/>
        <v>53.99</v>
      </c>
      <c r="G135" s="72">
        <f t="shared" si="36"/>
        <v>51.27</v>
      </c>
      <c r="H135" s="72">
        <f t="shared" si="36"/>
        <v>48.2</v>
      </c>
      <c r="I135" s="46">
        <f>SUM(J135:V135)</f>
        <v>0</v>
      </c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5" t="str">
        <f>IF($AC$133&lt;10,"mindestens 10 von diesem Artikel",(Y135+(IF($AC$133&lt;25,E135,IF($AC$133&lt;50,F135,IF($AC$133&lt;100,G135,H135)))))/$C$27/$A$27)</f>
        <v>mindestens 10 von diesem Artikel</v>
      </c>
      <c r="X135" s="45" t="str">
        <f>IF($C$100&lt;20,"20 Hosen!",IF($AC$133&lt;10,"10 von einer Sorte",IF(I135=0,0,W135*I135)))</f>
        <v>20 Hosen!</v>
      </c>
      <c r="Y135" s="11">
        <f>SUM(Z135:AB135)</f>
        <v>7.99</v>
      </c>
      <c r="Z135" s="6">
        <f t="shared" si="35"/>
        <v>7.99</v>
      </c>
      <c r="AA135" s="6"/>
      <c r="AB135" s="6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5.75" customHeight="1" x14ac:dyDescent="0.25">
      <c r="A136" s="43" t="s">
        <v>99</v>
      </c>
      <c r="B136" s="49"/>
      <c r="C136" s="44" t="s">
        <v>55</v>
      </c>
      <c r="D136" s="50" t="s">
        <v>46</v>
      </c>
      <c r="E136" s="72">
        <f t="shared" si="36"/>
        <v>61.99</v>
      </c>
      <c r="F136" s="72">
        <f t="shared" si="36"/>
        <v>53.99</v>
      </c>
      <c r="G136" s="72">
        <f t="shared" si="36"/>
        <v>51.27</v>
      </c>
      <c r="H136" s="72">
        <f t="shared" si="36"/>
        <v>48.2</v>
      </c>
      <c r="I136" s="46">
        <f>SUM(J136:V136)</f>
        <v>0</v>
      </c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5" t="str">
        <f>IF($AC$133&lt;10,"mindestens 10 von diesem Artikel",(Y136+(IF($AC$133&lt;25,E136,IF($AC$133&lt;50,F136,IF($AC$133&lt;100,G136,H136)))))/$C$27/$A$27)</f>
        <v>mindestens 10 von diesem Artikel</v>
      </c>
      <c r="X136" s="45" t="str">
        <f>IF($C$100&lt;20,"20 Hosen!",IF($AC$133&lt;10,"10 von einer Sorte",IF(I136=0,0,W136*I136)))</f>
        <v>20 Hosen!</v>
      </c>
      <c r="Y136" s="11">
        <f>SUM(Z136:AB136)</f>
        <v>19.989999999999998</v>
      </c>
      <c r="Z136" s="6">
        <f t="shared" si="35"/>
        <v>19.989999999999998</v>
      </c>
      <c r="AA136" s="6"/>
      <c r="AB136" s="6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x14ac:dyDescent="0.2">
      <c r="A137" s="60"/>
      <c r="B137" s="74"/>
      <c r="C137" s="60"/>
      <c r="D137" s="60"/>
      <c r="E137" s="60"/>
      <c r="F137" s="60"/>
      <c r="G137" s="60"/>
      <c r="H137" s="60"/>
      <c r="I137" s="62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15"/>
      <c r="X137" s="15"/>
      <c r="Z137" s="6"/>
      <c r="AA137" s="6"/>
      <c r="AB137" s="6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5.75" x14ac:dyDescent="0.25">
      <c r="A138" s="43" t="s">
        <v>100</v>
      </c>
      <c r="B138" s="43" t="s">
        <v>37</v>
      </c>
      <c r="C138" s="43" t="s">
        <v>52</v>
      </c>
      <c r="D138" s="50" t="s">
        <v>46</v>
      </c>
      <c r="E138" s="72">
        <v>109.99</v>
      </c>
      <c r="F138" s="72">
        <f>E138*0.9</f>
        <v>98.991</v>
      </c>
      <c r="G138" s="72">
        <f>F138*0.95</f>
        <v>94.041449999999998</v>
      </c>
      <c r="H138" s="72">
        <f>G138*0.94</f>
        <v>88.398962999999995</v>
      </c>
      <c r="I138" s="46">
        <f>SUM(J138:V138)</f>
        <v>0</v>
      </c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5" t="str">
        <f>IF(I138+I135+I134&lt;10,"mindestens 10 von diesem Artikel",(Y138+(IF(I138&lt;25,E138,IF(I138&lt;50,F138,IF(I138&lt;100,G138,H138)))))/$C$27/$A$27)</f>
        <v>mindestens 10 von diesem Artikel</v>
      </c>
      <c r="X138" s="45" t="str">
        <f>IF($C$100&lt;20,"20 Hosen!",IF(I138+I135+I134&lt;10,"10 von einer Sorte",IF(I138=0,0,W138*I138)))</f>
        <v>20 Hosen!</v>
      </c>
      <c r="Y138" s="11">
        <f>SUM(Z138:AB138)</f>
        <v>0</v>
      </c>
      <c r="Z138" s="6"/>
      <c r="AA138" s="6"/>
      <c r="AB138" s="6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x14ac:dyDescent="0.2">
      <c r="A139" s="60"/>
      <c r="B139" s="74"/>
      <c r="C139" s="60"/>
      <c r="D139" s="60"/>
      <c r="E139" s="60"/>
      <c r="F139" s="60"/>
      <c r="G139" s="60"/>
      <c r="H139" s="60"/>
      <c r="I139" s="62"/>
      <c r="J139" s="62"/>
      <c r="K139" s="62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6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5.75" x14ac:dyDescent="0.25">
      <c r="A140" s="155" t="s">
        <v>101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42">
        <f>SUM(X106:X135)</f>
        <v>579.60000000000014</v>
      </c>
      <c r="Y140" s="6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5.75" hidden="1" customHeight="1" x14ac:dyDescent="0.25">
      <c r="A141" s="116"/>
      <c r="B141" s="7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42"/>
      <c r="Y141" s="6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5.75" hidden="1" customHeight="1" x14ac:dyDescent="0.25">
      <c r="A142" s="116"/>
      <c r="B142" s="7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42"/>
      <c r="Y142" s="6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5.75" x14ac:dyDescent="0.25">
      <c r="A143" s="116"/>
      <c r="B143" s="7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42"/>
      <c r="Y143" s="6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5.75" x14ac:dyDescent="0.25">
      <c r="A144" s="116"/>
      <c r="B144" s="7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42"/>
      <c r="Y144" s="6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27.75" x14ac:dyDescent="0.4">
      <c r="A145" s="116"/>
      <c r="B145" s="76"/>
      <c r="C145" s="26" t="s">
        <v>102</v>
      </c>
      <c r="D145" s="26"/>
      <c r="E145" s="116"/>
      <c r="F145" s="116"/>
      <c r="G145" s="116"/>
      <c r="H145" s="116"/>
      <c r="I145" s="116"/>
      <c r="J145" s="116"/>
      <c r="K145" s="116"/>
      <c r="L145" s="116"/>
      <c r="M145" s="116"/>
      <c r="N145" s="144" t="str">
        <f>IF(Y184&lt;2000,"Mindestbestellwert von 2000€ noch nicht erreicht","")</f>
        <v>Mindestbestellwert von 2000€ noch nicht erreicht</v>
      </c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6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8" x14ac:dyDescent="0.25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6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5" hidden="1" customHeight="1" x14ac:dyDescent="0.2">
      <c r="A147" s="15" t="s">
        <v>103</v>
      </c>
      <c r="B147" s="18"/>
      <c r="C147" s="15"/>
      <c r="D147" s="15"/>
      <c r="E147" s="15"/>
      <c r="F147" s="15"/>
      <c r="G147" s="15"/>
      <c r="H147" s="15"/>
      <c r="I147" s="66"/>
      <c r="J147" s="66"/>
      <c r="K147" s="66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6">
        <f t="shared" ref="Y147:Y179" si="37">SUM(Z147:AC147)</f>
        <v>0</v>
      </c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5.75" x14ac:dyDescent="0.25">
      <c r="B148" s="77" t="s">
        <v>104</v>
      </c>
      <c r="E148" s="34">
        <v>50</v>
      </c>
      <c r="F148" s="34">
        <v>100</v>
      </c>
      <c r="G148" s="34">
        <v>200</v>
      </c>
      <c r="H148" s="34">
        <v>300</v>
      </c>
      <c r="I148" s="66"/>
      <c r="J148" s="66"/>
      <c r="K148" s="60"/>
      <c r="M148" s="34" t="s">
        <v>24</v>
      </c>
      <c r="N148" s="34" t="s">
        <v>88</v>
      </c>
      <c r="O148" s="34" t="s">
        <v>26</v>
      </c>
      <c r="P148" s="34" t="s">
        <v>27</v>
      </c>
      <c r="Q148" s="34" t="s">
        <v>28</v>
      </c>
      <c r="R148" s="34" t="s">
        <v>29</v>
      </c>
      <c r="S148" s="34" t="s">
        <v>30</v>
      </c>
      <c r="T148" s="15"/>
      <c r="U148" s="15"/>
      <c r="V148" s="15"/>
      <c r="W148" s="15"/>
      <c r="X148" s="15"/>
      <c r="Y148" s="6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5.75" x14ac:dyDescent="0.25">
      <c r="A149" s="50" t="s">
        <v>166</v>
      </c>
      <c r="B149" s="157" t="s">
        <v>164</v>
      </c>
      <c r="C149" s="78"/>
      <c r="D149" s="78"/>
      <c r="E149" s="24">
        <v>5.49</v>
      </c>
      <c r="F149" s="79">
        <v>4.99</v>
      </c>
      <c r="G149" s="79">
        <v>4.79</v>
      </c>
      <c r="H149" s="79">
        <v>4.49</v>
      </c>
      <c r="I149" s="46">
        <f>SUM(K149:V149)</f>
        <v>0</v>
      </c>
      <c r="J149" s="114"/>
      <c r="K149" s="60"/>
      <c r="L149" s="60"/>
      <c r="M149" s="80"/>
      <c r="N149" s="80"/>
      <c r="O149" s="80"/>
      <c r="P149" s="80"/>
      <c r="Q149" s="80"/>
      <c r="R149" s="80"/>
      <c r="S149" s="80"/>
      <c r="T149" s="60"/>
      <c r="U149" s="60"/>
      <c r="V149" s="60"/>
      <c r="W149" s="45" t="str">
        <f>IF(I$149+I$150&lt;50,"Mindestens",(HLOOKUP(I$149+I$150,E$148:H$149,2,TRUE)+Y149)/$C$27/$A$27)</f>
        <v>Mindestens</v>
      </c>
      <c r="X149" s="45" t="str">
        <f>IF(I149+I150&lt;50,"50 Socken!",W149*I149)</f>
        <v>50 Socken!</v>
      </c>
      <c r="Y149" s="6">
        <f t="shared" si="37"/>
        <v>1.99</v>
      </c>
      <c r="Z149" s="1">
        <f>IF(B$149="Meryl®",1.99,0)</f>
        <v>1.99</v>
      </c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5.75" x14ac:dyDescent="0.25">
      <c r="A150" s="50" t="s">
        <v>105</v>
      </c>
      <c r="B150" s="158"/>
      <c r="C150" s="78"/>
      <c r="D150" s="78"/>
      <c r="E150" s="24">
        <v>5.49</v>
      </c>
      <c r="F150" s="79">
        <f>F149</f>
        <v>4.99</v>
      </c>
      <c r="G150" s="79">
        <f>G149</f>
        <v>4.79</v>
      </c>
      <c r="H150" s="79">
        <f>H149</f>
        <v>4.49</v>
      </c>
      <c r="I150" s="46">
        <f>SUM(K150:V150)</f>
        <v>0</v>
      </c>
      <c r="J150" s="114"/>
      <c r="K150" s="60"/>
      <c r="L150" s="60"/>
      <c r="M150" s="80"/>
      <c r="N150" s="47"/>
      <c r="O150" s="47"/>
      <c r="P150" s="47"/>
      <c r="Q150" s="47"/>
      <c r="R150" s="47"/>
      <c r="S150" s="47"/>
      <c r="T150" s="60"/>
      <c r="U150" s="60"/>
      <c r="V150" s="60"/>
      <c r="W150" s="45" t="str">
        <f>IF(I$149+I$150&lt;50,"Mindestens",(HLOOKUP(I$149+I$150,E$148:H$149,2,TRUE)+Y150)/$C$27/$A$27)</f>
        <v>Mindestens</v>
      </c>
      <c r="X150" s="45" t="str">
        <f>IF(I150+I149&lt;50,"50 Socken!",W150*I150)</f>
        <v>50 Socken!</v>
      </c>
      <c r="Y150" s="6">
        <f t="shared" si="37"/>
        <v>1.99</v>
      </c>
      <c r="Z150" s="1">
        <f>IF(B$149="Meryl®",1.99,0)</f>
        <v>1.99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5.75" x14ac:dyDescent="0.25">
      <c r="A151" s="15"/>
      <c r="B151" s="18"/>
      <c r="C151" s="15"/>
      <c r="D151" s="15"/>
      <c r="E151" s="34">
        <v>10</v>
      </c>
      <c r="F151" s="34">
        <v>25</v>
      </c>
      <c r="G151" s="34">
        <v>50</v>
      </c>
      <c r="H151" s="34">
        <v>100</v>
      </c>
      <c r="I151" s="66"/>
      <c r="J151" s="34" t="s">
        <v>122</v>
      </c>
      <c r="K151" s="34" t="s">
        <v>22</v>
      </c>
      <c r="L151" s="34" t="s">
        <v>23</v>
      </c>
      <c r="M151" s="34" t="s">
        <v>24</v>
      </c>
      <c r="N151" s="34" t="s">
        <v>88</v>
      </c>
      <c r="O151" s="34" t="s">
        <v>26</v>
      </c>
      <c r="P151" s="34" t="s">
        <v>27</v>
      </c>
      <c r="Q151" s="34" t="s">
        <v>28</v>
      </c>
      <c r="R151" s="34" t="s">
        <v>29</v>
      </c>
      <c r="S151" s="34" t="s">
        <v>30</v>
      </c>
      <c r="T151" s="48" t="s">
        <v>56</v>
      </c>
      <c r="U151" s="48" t="s">
        <v>32</v>
      </c>
      <c r="V151" s="48" t="s">
        <v>33</v>
      </c>
      <c r="W151" s="20"/>
      <c r="X151" s="20"/>
      <c r="Y151" s="6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5.75" x14ac:dyDescent="0.25">
      <c r="A152" s="50" t="s">
        <v>106</v>
      </c>
      <c r="B152" s="49"/>
      <c r="C152" s="78"/>
      <c r="D152" s="78"/>
      <c r="E152" s="72">
        <v>14.99</v>
      </c>
      <c r="F152" s="72">
        <v>12.99</v>
      </c>
      <c r="G152" s="72">
        <v>11.99</v>
      </c>
      <c r="H152" s="72">
        <v>11.49</v>
      </c>
      <c r="I152" s="46">
        <f>SUM(J152:V152)</f>
        <v>0</v>
      </c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45" t="str">
        <f>IF(I152&lt;10,"Mindestens",(HLOOKUP(I152,E151:H152,2,TRUE))/$C$27/$A$27)</f>
        <v>Mindestens</v>
      </c>
      <c r="X152" s="45" t="str">
        <f>IF(I152&lt;10,"10 Stück!",W152*I152)</f>
        <v>10 Stück!</v>
      </c>
      <c r="Y152" s="6">
        <f t="shared" si="37"/>
        <v>0</v>
      </c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5.75" hidden="1" customHeight="1" x14ac:dyDescent="0.25">
      <c r="A153" s="81" t="s">
        <v>107</v>
      </c>
      <c r="B153" s="82"/>
      <c r="C153" s="83">
        <v>3</v>
      </c>
      <c r="D153" s="83"/>
      <c r="E153" s="84"/>
      <c r="F153" s="72">
        <f>C153-1</f>
        <v>2</v>
      </c>
      <c r="G153" s="72"/>
      <c r="H153" s="72"/>
      <c r="I153" s="85"/>
      <c r="J153" s="94"/>
      <c r="K153" s="60"/>
      <c r="L153" s="60"/>
      <c r="M153" s="15"/>
      <c r="N153" s="15"/>
      <c r="O153" s="86"/>
      <c r="P153" s="86"/>
      <c r="Q153" s="86"/>
      <c r="R153" s="60"/>
      <c r="S153" s="60"/>
      <c r="T153" s="60"/>
      <c r="U153" s="60"/>
      <c r="V153" s="60"/>
      <c r="W153" s="78"/>
      <c r="X153" s="78"/>
      <c r="Y153" s="6">
        <f t="shared" si="37"/>
        <v>0</v>
      </c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5.75" x14ac:dyDescent="0.25">
      <c r="A154" s="21"/>
      <c r="B154" s="14"/>
      <c r="C154" s="15"/>
      <c r="D154" s="15"/>
      <c r="E154" s="34">
        <v>10</v>
      </c>
      <c r="F154" s="34">
        <v>25</v>
      </c>
      <c r="G154" s="34">
        <v>50</v>
      </c>
      <c r="H154" s="34">
        <v>100</v>
      </c>
      <c r="I154" s="66"/>
      <c r="J154" s="34" t="s">
        <v>122</v>
      </c>
      <c r="K154" s="34" t="s">
        <v>22</v>
      </c>
      <c r="L154" s="34" t="s">
        <v>23</v>
      </c>
      <c r="M154" s="34" t="s">
        <v>24</v>
      </c>
      <c r="N154" s="34" t="s">
        <v>88</v>
      </c>
      <c r="O154" s="34" t="s">
        <v>26</v>
      </c>
      <c r="P154" s="34" t="s">
        <v>27</v>
      </c>
      <c r="Q154" s="34" t="s">
        <v>28</v>
      </c>
      <c r="R154" s="34" t="s">
        <v>29</v>
      </c>
      <c r="S154" s="34" t="s">
        <v>30</v>
      </c>
      <c r="T154" s="48" t="s">
        <v>56</v>
      </c>
      <c r="U154" s="48" t="s">
        <v>32</v>
      </c>
      <c r="V154" s="48" t="s">
        <v>33</v>
      </c>
      <c r="W154" s="20"/>
      <c r="X154" s="20"/>
      <c r="Y154" s="6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5.75" x14ac:dyDescent="0.25">
      <c r="A155" s="50" t="s">
        <v>108</v>
      </c>
      <c r="B155" s="49"/>
      <c r="C155" s="78"/>
      <c r="D155" s="78"/>
      <c r="E155" s="72">
        <v>15.99</v>
      </c>
      <c r="F155" s="72">
        <v>13.99</v>
      </c>
      <c r="G155" s="72">
        <v>12.99</v>
      </c>
      <c r="H155" s="72">
        <v>12.49</v>
      </c>
      <c r="I155" s="46">
        <f>SUM(J155:V155)</f>
        <v>0</v>
      </c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45" t="str">
        <f>IF(I155&lt;10,"Mindestens",(HLOOKUP(I155,E154:H155,2,TRUE))/$C$27/$A$27)</f>
        <v>Mindestens</v>
      </c>
      <c r="X155" s="45" t="str">
        <f>IF(I155&lt;10,"10 Stück!",W155*I155)</f>
        <v>10 Stück!</v>
      </c>
      <c r="Y155" s="6">
        <f t="shared" si="37"/>
        <v>0</v>
      </c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5.75" hidden="1" customHeight="1" x14ac:dyDescent="0.25">
      <c r="A156" s="81" t="s">
        <v>107</v>
      </c>
      <c r="B156" s="82"/>
      <c r="C156" s="83">
        <v>3</v>
      </c>
      <c r="D156" s="83"/>
      <c r="E156" s="84"/>
      <c r="F156" s="72">
        <f>C156-1</f>
        <v>2</v>
      </c>
      <c r="G156" s="72"/>
      <c r="H156" s="72"/>
      <c r="I156" s="85"/>
      <c r="J156" s="94"/>
      <c r="K156" s="60"/>
      <c r="L156" s="60"/>
      <c r="M156" s="15"/>
      <c r="N156" s="15"/>
      <c r="O156" s="86"/>
      <c r="P156" s="86"/>
      <c r="Q156" s="86"/>
      <c r="R156" s="60"/>
      <c r="S156" s="60"/>
      <c r="T156" s="60"/>
      <c r="U156" s="60"/>
      <c r="V156" s="60"/>
      <c r="W156" s="78"/>
      <c r="X156" s="78"/>
      <c r="Y156" s="6">
        <f t="shared" si="37"/>
        <v>0</v>
      </c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5.75" x14ac:dyDescent="0.25">
      <c r="A157" s="21"/>
      <c r="B157" s="14"/>
      <c r="C157" s="15"/>
      <c r="D157" s="15"/>
      <c r="E157" s="34">
        <v>10</v>
      </c>
      <c r="F157" s="34">
        <v>25</v>
      </c>
      <c r="G157" s="34">
        <v>50</v>
      </c>
      <c r="H157" s="34">
        <v>100</v>
      </c>
      <c r="I157" s="66"/>
      <c r="J157" s="34" t="s">
        <v>122</v>
      </c>
      <c r="K157" s="34" t="s">
        <v>22</v>
      </c>
      <c r="L157" s="34" t="s">
        <v>23</v>
      </c>
      <c r="M157" s="34" t="s">
        <v>24</v>
      </c>
      <c r="N157" s="34" t="s">
        <v>88</v>
      </c>
      <c r="O157" s="34" t="s">
        <v>26</v>
      </c>
      <c r="P157" s="34" t="s">
        <v>27</v>
      </c>
      <c r="Q157" s="34" t="s">
        <v>28</v>
      </c>
      <c r="R157" s="34" t="s">
        <v>29</v>
      </c>
      <c r="S157" s="34" t="s">
        <v>30</v>
      </c>
      <c r="T157" s="48" t="s">
        <v>56</v>
      </c>
      <c r="U157" s="48" t="s">
        <v>32</v>
      </c>
      <c r="V157" s="48" t="s">
        <v>33</v>
      </c>
      <c r="W157" s="20"/>
      <c r="X157" s="20"/>
      <c r="Y157" s="6"/>
      <c r="Z157" s="1"/>
      <c r="AA157" s="1"/>
      <c r="AB157" s="1"/>
      <c r="AC157" s="1"/>
      <c r="AD157" s="1"/>
      <c r="AE157" s="1"/>
      <c r="AF157" s="1">
        <f>392.7/70</f>
        <v>5.6099999999999994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5.75" x14ac:dyDescent="0.25">
      <c r="A158" s="50" t="s">
        <v>109</v>
      </c>
      <c r="B158" s="49"/>
      <c r="C158" s="78"/>
      <c r="D158" s="78"/>
      <c r="E158" s="72">
        <v>23.99</v>
      </c>
      <c r="F158" s="72">
        <v>21.99</v>
      </c>
      <c r="G158" s="72">
        <v>19.989999999999998</v>
      </c>
      <c r="H158" s="72">
        <v>18.989999999999998</v>
      </c>
      <c r="I158" s="46">
        <f>SUM(J158:V158)</f>
        <v>0</v>
      </c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45" t="str">
        <f>IF(I158&lt;10,"Mindestens",(HLOOKUP(I158,E157:H158,2,TRUE))/$C$27/$A$27)</f>
        <v>Mindestens</v>
      </c>
      <c r="X158" s="45" t="str">
        <f>IF(I158&lt;10,"10 Stück!",W158*I158)</f>
        <v>10 Stück!</v>
      </c>
      <c r="Y158" s="6">
        <f t="shared" si="37"/>
        <v>0</v>
      </c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5.75" hidden="1" customHeight="1" x14ac:dyDescent="0.25">
      <c r="A159" s="81" t="s">
        <v>107</v>
      </c>
      <c r="B159" s="82"/>
      <c r="C159" s="83">
        <v>3</v>
      </c>
      <c r="D159" s="83"/>
      <c r="E159" s="84"/>
      <c r="F159" s="72">
        <f>C159-1</f>
        <v>2</v>
      </c>
      <c r="G159" s="72"/>
      <c r="H159" s="72"/>
      <c r="I159" s="85"/>
      <c r="J159" s="94"/>
      <c r="K159" s="60"/>
      <c r="L159" s="60"/>
      <c r="M159" s="86"/>
      <c r="N159" s="86"/>
      <c r="O159" s="86"/>
      <c r="P159" s="86"/>
      <c r="Q159" s="86"/>
      <c r="R159" s="60"/>
      <c r="S159" s="60"/>
      <c r="T159" s="60"/>
      <c r="U159" s="60"/>
      <c r="V159" s="60"/>
      <c r="W159" s="78"/>
      <c r="X159" s="78"/>
      <c r="Y159" s="6">
        <f t="shared" si="37"/>
        <v>0</v>
      </c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5.75" x14ac:dyDescent="0.25">
      <c r="A160" s="21"/>
      <c r="B160" s="14"/>
      <c r="C160" s="15"/>
      <c r="D160" s="15"/>
      <c r="E160" s="34">
        <v>10</v>
      </c>
      <c r="F160" s="34">
        <v>25</v>
      </c>
      <c r="G160" s="34">
        <v>50</v>
      </c>
      <c r="H160" s="34">
        <v>100</v>
      </c>
      <c r="I160" s="66"/>
      <c r="J160" s="66"/>
      <c r="K160" s="60"/>
      <c r="L160" s="60"/>
      <c r="M160" s="34" t="s">
        <v>24</v>
      </c>
      <c r="N160" s="34" t="s">
        <v>88</v>
      </c>
      <c r="O160" s="34" t="s">
        <v>26</v>
      </c>
      <c r="P160" s="34" t="s">
        <v>27</v>
      </c>
      <c r="Q160" s="34" t="s">
        <v>28</v>
      </c>
      <c r="R160" s="34" t="s">
        <v>29</v>
      </c>
      <c r="S160" s="34" t="s">
        <v>30</v>
      </c>
      <c r="T160" s="48" t="s">
        <v>56</v>
      </c>
      <c r="U160" s="60"/>
      <c r="V160" s="60"/>
      <c r="W160" s="20"/>
      <c r="X160" s="20"/>
      <c r="Y160" s="6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.75" x14ac:dyDescent="0.25">
      <c r="A161" s="50" t="s">
        <v>139</v>
      </c>
      <c r="B161" s="87"/>
      <c r="C161" s="78"/>
      <c r="D161" s="78"/>
      <c r="E161" s="72">
        <v>14.99</v>
      </c>
      <c r="F161" s="72">
        <v>12.49</v>
      </c>
      <c r="G161" s="72">
        <v>11.49</v>
      </c>
      <c r="H161" s="72">
        <v>10.99</v>
      </c>
      <c r="I161" s="46">
        <f>SUM(K161:V161)</f>
        <v>0</v>
      </c>
      <c r="J161" s="114"/>
      <c r="K161" s="60"/>
      <c r="L161" s="60"/>
      <c r="M161" s="80"/>
      <c r="N161" s="80"/>
      <c r="O161" s="80"/>
      <c r="P161" s="80"/>
      <c r="Q161" s="80"/>
      <c r="R161" s="80"/>
      <c r="S161" s="80"/>
      <c r="T161" s="80"/>
      <c r="U161" s="61"/>
      <c r="V161" s="61"/>
      <c r="W161" s="45" t="str">
        <f t="shared" ref="W161:W167" si="38">IF(I161&lt;25,"mindestens 25 Handschuhe",(IF(I161&lt;25,E161,IF(I161&lt;50,F161,IF(I161&lt;100,G161,H161))))/$C$27/$A$27)</f>
        <v>mindestens 25 Handschuhe</v>
      </c>
      <c r="X161" s="45" t="str">
        <f>IF(I161&lt;25,"25 Handschuhe!",W161*I161)</f>
        <v>25 Handschuhe!</v>
      </c>
      <c r="Y161" s="6">
        <f t="shared" si="37"/>
        <v>0</v>
      </c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.75" hidden="1" customHeight="1" x14ac:dyDescent="0.25">
      <c r="A162" s="81" t="s">
        <v>107</v>
      </c>
      <c r="B162" s="82"/>
      <c r="C162" s="83"/>
      <c r="D162" s="83"/>
      <c r="E162" s="72">
        <v>18.990000000000002</v>
      </c>
      <c r="F162" s="72">
        <v>16.490000000000002</v>
      </c>
      <c r="G162" s="72">
        <v>15.49</v>
      </c>
      <c r="H162" s="72">
        <v>14.99</v>
      </c>
      <c r="I162" s="85"/>
      <c r="J162" s="94"/>
      <c r="K162" s="60">
        <v>0</v>
      </c>
      <c r="L162" s="60"/>
      <c r="M162" s="86"/>
      <c r="N162" s="86"/>
      <c r="O162" s="86"/>
      <c r="P162" s="60"/>
      <c r="Q162" s="60"/>
      <c r="R162" s="60"/>
      <c r="S162" s="80"/>
      <c r="T162" s="80"/>
      <c r="U162" s="60"/>
      <c r="V162" s="60"/>
      <c r="W162" s="45" t="str">
        <f t="shared" si="38"/>
        <v>mindestens 25 Handschuhe</v>
      </c>
      <c r="X162" s="45" t="str">
        <f>IF(I162&lt;25,"25 Handschuhe!",W162*I162)</f>
        <v>25 Handschuhe!</v>
      </c>
      <c r="Y162" s="6">
        <f t="shared" si="37"/>
        <v>0</v>
      </c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.75" x14ac:dyDescent="0.25">
      <c r="A163" s="50" t="s">
        <v>110</v>
      </c>
      <c r="B163" s="87"/>
      <c r="C163" s="78"/>
      <c r="D163" s="78"/>
      <c r="E163" s="72">
        <v>18.990000000000002</v>
      </c>
      <c r="F163" s="72">
        <v>16.490000000000002</v>
      </c>
      <c r="G163" s="72">
        <v>15.49</v>
      </c>
      <c r="H163" s="72">
        <v>14.99</v>
      </c>
      <c r="I163" s="46">
        <f>SUM(K163:V163)</f>
        <v>0</v>
      </c>
      <c r="J163" s="114"/>
      <c r="K163" s="60"/>
      <c r="L163" s="60"/>
      <c r="M163" s="80"/>
      <c r="N163" s="80"/>
      <c r="O163" s="80"/>
      <c r="P163" s="80"/>
      <c r="Q163" s="80"/>
      <c r="R163" s="80"/>
      <c r="S163" s="80"/>
      <c r="T163" s="80"/>
      <c r="U163" s="61"/>
      <c r="V163" s="61"/>
      <c r="W163" s="45" t="str">
        <f t="shared" si="38"/>
        <v>mindestens 25 Handschuhe</v>
      </c>
      <c r="X163" s="45" t="str">
        <f>IF(I163&lt;25,"25 Handschuhe!",W163*I163)</f>
        <v>25 Handschuhe!</v>
      </c>
      <c r="Y163" s="6">
        <f t="shared" si="37"/>
        <v>0</v>
      </c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.75" x14ac:dyDescent="0.25">
      <c r="A164" s="50" t="s">
        <v>140</v>
      </c>
      <c r="B164" s="87"/>
      <c r="C164" s="78"/>
      <c r="D164" s="78"/>
      <c r="E164" s="72">
        <f>E163+1</f>
        <v>19.990000000000002</v>
      </c>
      <c r="F164" s="72">
        <f>F163+1</f>
        <v>17.490000000000002</v>
      </c>
      <c r="G164" s="72">
        <f>G163+1</f>
        <v>16.490000000000002</v>
      </c>
      <c r="H164" s="72">
        <f>H163+1</f>
        <v>15.99</v>
      </c>
      <c r="I164" s="46">
        <f>SUM(K164:V164)</f>
        <v>0</v>
      </c>
      <c r="J164" s="114"/>
      <c r="K164" s="60"/>
      <c r="L164" s="60"/>
      <c r="M164" s="80"/>
      <c r="N164" s="80"/>
      <c r="O164" s="80"/>
      <c r="P164" s="80"/>
      <c r="Q164" s="80"/>
      <c r="R164" s="80"/>
      <c r="S164" s="80"/>
      <c r="T164" s="80"/>
      <c r="U164" s="61"/>
      <c r="V164" s="61"/>
      <c r="W164" s="45" t="str">
        <f t="shared" si="38"/>
        <v>mindestens 25 Handschuhe</v>
      </c>
      <c r="X164" s="45" t="str">
        <f>IF(I164&lt;25,"25 Handschuhe!",W164*I164)</f>
        <v>25 Handschuhe!</v>
      </c>
      <c r="Y164" s="6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.75" x14ac:dyDescent="0.25">
      <c r="A165" s="50" t="s">
        <v>141</v>
      </c>
      <c r="B165" s="87"/>
      <c r="C165" s="78"/>
      <c r="D165" s="78"/>
      <c r="E165" s="72">
        <v>24.99</v>
      </c>
      <c r="F165" s="72">
        <v>21.99</v>
      </c>
      <c r="G165" s="72">
        <v>20.99</v>
      </c>
      <c r="H165" s="72">
        <v>19.95</v>
      </c>
      <c r="I165" s="46">
        <f>SUM(K165:V165)</f>
        <v>0</v>
      </c>
      <c r="J165" s="114"/>
      <c r="K165" s="60"/>
      <c r="L165" s="60"/>
      <c r="M165" s="80"/>
      <c r="N165" s="80"/>
      <c r="O165" s="80"/>
      <c r="P165" s="80"/>
      <c r="Q165" s="80"/>
      <c r="R165" s="80"/>
      <c r="S165" s="80"/>
      <c r="T165" s="80"/>
      <c r="U165" s="61"/>
      <c r="V165" s="61"/>
      <c r="W165" s="45" t="str">
        <f t="shared" si="38"/>
        <v>mindestens 25 Handschuhe</v>
      </c>
      <c r="X165" s="45" t="str">
        <f>IF(I165&lt;25,"25 Handschuhe!",W165*I165)</f>
        <v>25 Handschuhe!</v>
      </c>
      <c r="Y165" s="6">
        <f t="shared" si="37"/>
        <v>0</v>
      </c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.75" x14ac:dyDescent="0.25">
      <c r="A166" s="50" t="s">
        <v>149</v>
      </c>
      <c r="B166" s="87"/>
      <c r="C166" s="78"/>
      <c r="D166" s="78"/>
      <c r="E166" s="72">
        <v>14.99</v>
      </c>
      <c r="F166" s="72">
        <v>12.49</v>
      </c>
      <c r="G166" s="72">
        <v>11.49</v>
      </c>
      <c r="H166" s="72">
        <v>10.99</v>
      </c>
      <c r="I166" s="46">
        <f>SUM(K166:V166)</f>
        <v>0</v>
      </c>
      <c r="J166" s="114"/>
      <c r="K166" s="60"/>
      <c r="L166" s="60"/>
      <c r="M166" s="80"/>
      <c r="N166" s="80"/>
      <c r="O166" s="80"/>
      <c r="P166" s="80"/>
      <c r="Q166" s="80"/>
      <c r="R166" s="80"/>
      <c r="S166" s="80"/>
      <c r="T166" s="80"/>
      <c r="U166" s="61"/>
      <c r="V166" s="61"/>
      <c r="W166" s="45" t="str">
        <f>IF(I166&lt;25,"mindestens 25 Handschuhe",(IF(I166&lt;25,E166,IF(I166&lt;50,F166,IF(I166&lt;100,G166,H166))))/$C$27/$A$27)</f>
        <v>mindestens 25 Handschuhe</v>
      </c>
      <c r="X166" s="45" t="str">
        <f>IF(I166&lt;25,"25 Überschuhe!",W166*I166)</f>
        <v>25 Überschuhe!</v>
      </c>
      <c r="Y166" s="6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.75" x14ac:dyDescent="0.25">
      <c r="A167" s="50" t="s">
        <v>142</v>
      </c>
      <c r="B167" s="87"/>
      <c r="C167" s="78"/>
      <c r="D167" s="78"/>
      <c r="E167" s="72">
        <v>29.99</v>
      </c>
      <c r="F167" s="72">
        <v>26.99</v>
      </c>
      <c r="G167" s="72">
        <v>25.99</v>
      </c>
      <c r="H167" s="72">
        <v>24.99</v>
      </c>
      <c r="I167" s="46">
        <f>SUM(K167:V167)</f>
        <v>0</v>
      </c>
      <c r="J167" s="114"/>
      <c r="K167" s="60"/>
      <c r="L167" s="60"/>
      <c r="M167" s="80"/>
      <c r="N167" s="80"/>
      <c r="O167" s="80"/>
      <c r="P167" s="80"/>
      <c r="Q167" s="80"/>
      <c r="R167" s="80"/>
      <c r="S167" s="80"/>
      <c r="T167" s="80"/>
      <c r="U167" s="61"/>
      <c r="V167" s="61"/>
      <c r="W167" s="45" t="str">
        <f t="shared" si="38"/>
        <v>mindestens 25 Handschuhe</v>
      </c>
      <c r="X167" s="45" t="str">
        <f>IF(I167&lt;25,"25 Überschuhe!",W167*I167)</f>
        <v>25 Überschuhe!</v>
      </c>
      <c r="Y167" s="6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.75" x14ac:dyDescent="0.25">
      <c r="A168" s="21"/>
      <c r="B168" s="77" t="s">
        <v>111</v>
      </c>
      <c r="C168" s="77" t="s">
        <v>104</v>
      </c>
      <c r="D168" s="15"/>
      <c r="E168" s="34">
        <v>100</v>
      </c>
      <c r="F168" s="34">
        <v>200</v>
      </c>
      <c r="G168" s="34">
        <v>300</v>
      </c>
      <c r="H168" s="42"/>
      <c r="I168" s="88" t="s">
        <v>112</v>
      </c>
      <c r="J168" s="58"/>
      <c r="K168" s="60"/>
      <c r="L168" s="61"/>
      <c r="M168" s="56"/>
      <c r="N168" s="56"/>
      <c r="O168" s="60"/>
      <c r="P168" s="60"/>
      <c r="Q168" s="60"/>
      <c r="R168" s="60"/>
      <c r="S168" s="60"/>
      <c r="T168" s="60"/>
      <c r="U168" s="60"/>
      <c r="V168" s="60"/>
      <c r="W168" s="20"/>
      <c r="X168" s="20"/>
      <c r="Y168" s="6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.75" x14ac:dyDescent="0.25">
      <c r="A169" s="50" t="s">
        <v>113</v>
      </c>
      <c r="B169" s="44">
        <v>1</v>
      </c>
      <c r="C169" s="44" t="s">
        <v>114</v>
      </c>
      <c r="D169" s="78"/>
      <c r="E169" s="72">
        <v>5.99</v>
      </c>
      <c r="F169" s="72">
        <v>5.49</v>
      </c>
      <c r="G169" s="72">
        <v>4.99</v>
      </c>
      <c r="H169" s="72"/>
      <c r="I169" s="89"/>
      <c r="J169" s="114"/>
      <c r="K169" s="60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45" t="str">
        <f>IF(I169&lt;100,"mindestens 100 von diesem Artikel",(IF(I169&lt;200,E169,IF(I169&lt;500,F169,G169))+Y169)/$C$27/$A$27)</f>
        <v>mindestens 100 von diesem Artikel</v>
      </c>
      <c r="X169" s="45" t="str">
        <f>IF(I169&lt;100,"100 Stück!",W169*I169)</f>
        <v>100 Stück!</v>
      </c>
      <c r="Y169" s="6">
        <f>SUM(Z169:AC169)</f>
        <v>0</v>
      </c>
      <c r="Z169" s="6">
        <f>0.5*B169-0.5</f>
        <v>0</v>
      </c>
      <c r="AA169" s="1">
        <f>IF(C169="Streifen",1,0)</f>
        <v>0</v>
      </c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.75" x14ac:dyDescent="0.25">
      <c r="A170" s="50" t="s">
        <v>115</v>
      </c>
      <c r="B170" s="44">
        <v>2</v>
      </c>
      <c r="C170" s="78"/>
      <c r="D170" s="78"/>
      <c r="E170" s="72">
        <v>5.49</v>
      </c>
      <c r="F170" s="72">
        <v>4.99</v>
      </c>
      <c r="G170" s="72">
        <v>4.49</v>
      </c>
      <c r="H170" s="72"/>
      <c r="I170" s="89"/>
      <c r="J170" s="114"/>
      <c r="K170" s="60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45" t="str">
        <f>IF(I170&lt;100,"mindestens 100 von diesem Artikel",(IF(I170&lt;200,E170,IF(I170&lt;500,F170,G170))+Z170)/$C$27/$A$27)</f>
        <v>mindestens 100 von diesem Artikel</v>
      </c>
      <c r="X170" s="45" t="str">
        <f>IF(I170&lt;100,"100 Stück!",W170*I170)</f>
        <v>100 Stück!</v>
      </c>
      <c r="Y170" s="6">
        <f>SUM(Z170:AC170)</f>
        <v>0.5</v>
      </c>
      <c r="Z170" s="6">
        <f>0.5*B170-0.5</f>
        <v>0.5</v>
      </c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.75" x14ac:dyDescent="0.25">
      <c r="A171" s="90"/>
      <c r="B171" s="91"/>
      <c r="C171" s="92"/>
      <c r="D171" s="92"/>
      <c r="E171" s="34">
        <v>10</v>
      </c>
      <c r="F171" s="34">
        <v>25</v>
      </c>
      <c r="G171" s="34">
        <v>50</v>
      </c>
      <c r="H171" s="34">
        <v>100</v>
      </c>
      <c r="I171" s="88"/>
      <c r="J171" s="114"/>
      <c r="K171" s="60"/>
      <c r="L171" s="60"/>
      <c r="M171" s="34" t="s">
        <v>24</v>
      </c>
      <c r="N171" s="34" t="s">
        <v>88</v>
      </c>
      <c r="O171" s="34" t="s">
        <v>26</v>
      </c>
      <c r="P171" s="34" t="s">
        <v>27</v>
      </c>
      <c r="Q171" s="34" t="s">
        <v>28</v>
      </c>
      <c r="R171" s="34" t="s">
        <v>29</v>
      </c>
      <c r="S171" s="61"/>
      <c r="T171" s="61"/>
      <c r="U171" s="61"/>
      <c r="V171" s="61"/>
      <c r="W171" s="93"/>
      <c r="X171" s="93"/>
      <c r="Y171" s="6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.75" x14ac:dyDescent="0.25">
      <c r="A172" s="50" t="s">
        <v>116</v>
      </c>
      <c r="B172" s="49"/>
      <c r="C172" s="78"/>
      <c r="D172" s="78"/>
      <c r="E172" s="72">
        <v>14.99</v>
      </c>
      <c r="F172" s="72">
        <v>12.99</v>
      </c>
      <c r="G172" s="72">
        <v>11.99</v>
      </c>
      <c r="H172" s="72">
        <v>11.49</v>
      </c>
      <c r="I172" s="46">
        <f>SUM(K172:V172)</f>
        <v>0</v>
      </c>
      <c r="J172" s="114"/>
      <c r="K172" s="60"/>
      <c r="L172" s="60"/>
      <c r="M172" s="80"/>
      <c r="N172" s="80"/>
      <c r="O172" s="80"/>
      <c r="P172" s="80"/>
      <c r="Q172" s="80"/>
      <c r="R172" s="80"/>
      <c r="S172" s="61"/>
      <c r="T172" s="61"/>
      <c r="U172" s="61"/>
      <c r="V172" s="61"/>
      <c r="W172" s="45" t="str">
        <f>IF(I172&lt;10,"mindestens 10 von diesem Artikel",(IF(I172&lt;25,E172,IF(I172&lt;50,F172,IF(I172&lt;100,G172,H172))))/$C$27/$A$27)</f>
        <v>mindestens 10 von diesem Artikel</v>
      </c>
      <c r="X172" s="45" t="str">
        <f>IF(I172&lt;10,"10 Stück!",W172*I172)</f>
        <v>10 Stück!</v>
      </c>
      <c r="Y172" s="6">
        <f t="shared" si="37"/>
        <v>0</v>
      </c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.75" x14ac:dyDescent="0.25">
      <c r="A173" s="50" t="s">
        <v>155</v>
      </c>
      <c r="B173" s="49"/>
      <c r="C173" s="78"/>
      <c r="D173" s="78"/>
      <c r="E173" s="72">
        <v>16.489999999999998</v>
      </c>
      <c r="F173" s="72">
        <f>E173*F172/E172</f>
        <v>14.289866577718477</v>
      </c>
      <c r="G173" s="72">
        <v>13.49</v>
      </c>
      <c r="H173" s="72">
        <v>12.99</v>
      </c>
      <c r="I173" s="46">
        <f>SUM(K173:V173)</f>
        <v>0</v>
      </c>
      <c r="J173" s="114"/>
      <c r="K173" s="60"/>
      <c r="L173" s="60"/>
      <c r="M173" s="80"/>
      <c r="N173" s="80"/>
      <c r="O173" s="80"/>
      <c r="P173" s="80"/>
      <c r="Q173" s="80"/>
      <c r="R173" s="80"/>
      <c r="S173" s="61"/>
      <c r="T173" s="61"/>
      <c r="U173" s="61"/>
      <c r="V173" s="61"/>
      <c r="W173" s="45" t="str">
        <f>IF(I173&lt;10,"mindestens 10 von diesem Artikel",(IF(I173&lt;25,E173,IF(I173&lt;50,F173,IF(I173&lt;100,G173,H173))))/$C$27/$A$27)</f>
        <v>mindestens 10 von diesem Artikel</v>
      </c>
      <c r="X173" s="45" t="str">
        <f>IF(I173&lt;10,"10 Stück!",W173*I173)</f>
        <v>10 Stück!</v>
      </c>
      <c r="Y173" s="6">
        <f t="shared" ref="Y173" si="39">SUM(Z173:AC173)</f>
        <v>0</v>
      </c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.75" hidden="1" customHeight="1" x14ac:dyDescent="0.25">
      <c r="A174" s="96"/>
      <c r="B174" s="97"/>
      <c r="Y174" s="6">
        <f t="shared" si="37"/>
        <v>0</v>
      </c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.75" hidden="1" customHeight="1" x14ac:dyDescent="0.25">
      <c r="A175" s="21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34">
        <v>140</v>
      </c>
      <c r="M175" s="34">
        <v>150</v>
      </c>
      <c r="N175" s="34" t="s">
        <v>88</v>
      </c>
      <c r="O175" s="34" t="s">
        <v>26</v>
      </c>
      <c r="P175" s="34" t="s">
        <v>27</v>
      </c>
      <c r="Q175" s="34" t="s">
        <v>28</v>
      </c>
      <c r="R175" s="34" t="s">
        <v>29</v>
      </c>
      <c r="S175" s="34" t="s">
        <v>30</v>
      </c>
      <c r="T175" s="48" t="s">
        <v>56</v>
      </c>
      <c r="U175" s="39"/>
      <c r="V175" s="39"/>
      <c r="W175" s="15"/>
      <c r="X175" s="15"/>
      <c r="Y175" s="6">
        <f t="shared" si="37"/>
        <v>0</v>
      </c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ht="15.75" hidden="1" customHeight="1" x14ac:dyDescent="0.25">
      <c r="A176" s="98" t="s">
        <v>117</v>
      </c>
      <c r="B176" s="99"/>
      <c r="C176" s="95"/>
      <c r="D176" s="95"/>
      <c r="E176" s="72">
        <v>55.47</v>
      </c>
      <c r="F176" s="72">
        <v>46.208000000000006</v>
      </c>
      <c r="G176" s="72">
        <v>44.3125</v>
      </c>
      <c r="H176" s="72">
        <v>44.087499999999999</v>
      </c>
      <c r="I176" s="100">
        <f>SUM(L176:T176)</f>
        <v>0</v>
      </c>
      <c r="J176" s="100"/>
      <c r="K176" s="100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2" t="str">
        <f>IF(I176+I177&lt;20,"Mindestens 20 Oberteile!",SUM(#REF!)*A27)</f>
        <v>Mindestens 20 Oberteile!</v>
      </c>
      <c r="X176" s="102" t="str">
        <f>IF(I176+I177&lt;20,"20 Stück!",W176*I176)</f>
        <v>20 Stück!</v>
      </c>
      <c r="Y176" s="6">
        <f t="shared" si="37"/>
        <v>0</v>
      </c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ht="15.75" hidden="1" customHeight="1" x14ac:dyDescent="0.25">
      <c r="A177" s="98" t="s">
        <v>118</v>
      </c>
      <c r="B177" s="99"/>
      <c r="C177" s="95"/>
      <c r="D177" s="95"/>
      <c r="E177" s="72">
        <v>81.674999999999997</v>
      </c>
      <c r="F177" s="72">
        <v>68.55680000000001</v>
      </c>
      <c r="G177" s="72">
        <v>66.137500000000003</v>
      </c>
      <c r="H177" s="72">
        <v>65.912499999999994</v>
      </c>
      <c r="I177" s="100">
        <f>SUM(L177:T177)</f>
        <v>0</v>
      </c>
      <c r="J177" s="100"/>
      <c r="K177" s="100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102" t="str">
        <f>IF(I177+I176&lt;20,"Mindestens 20 Oberteile!",SUM(#REF!)*A27)</f>
        <v>Mindestens 20 Oberteile!</v>
      </c>
      <c r="X177" s="102" t="str">
        <f>IF(I177+I176&lt;20,"20 Stück!",W177*I177)</f>
        <v>20 Stück!</v>
      </c>
      <c r="Y177" s="6">
        <f t="shared" si="37"/>
        <v>0</v>
      </c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ht="15.75" hidden="1" customHeight="1" x14ac:dyDescent="0.25">
      <c r="A178" s="81" t="s">
        <v>111</v>
      </c>
      <c r="B178" s="82"/>
      <c r="C178" s="83">
        <v>3</v>
      </c>
      <c r="D178" s="83"/>
      <c r="E178" s="84"/>
      <c r="F178" s="72">
        <f>C178-1</f>
        <v>2</v>
      </c>
      <c r="G178" s="72"/>
      <c r="H178" s="72"/>
      <c r="I178" s="85"/>
      <c r="J178" s="85"/>
      <c r="K178" s="85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95"/>
      <c r="X178" s="95"/>
      <c r="Y178" s="6">
        <f t="shared" si="37"/>
        <v>0</v>
      </c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ht="15.75" hidden="1" customHeight="1" x14ac:dyDescent="0.25">
      <c r="A179" s="103" t="s">
        <v>119</v>
      </c>
      <c r="B179" s="104"/>
      <c r="C179" s="105"/>
      <c r="D179" s="105"/>
      <c r="E179" s="106"/>
      <c r="F179" s="107"/>
      <c r="G179" s="107"/>
      <c r="H179" s="107"/>
      <c r="I179" s="94"/>
      <c r="J179" s="94"/>
      <c r="K179" s="94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9"/>
      <c r="X179" s="109"/>
      <c r="Y179" s="6">
        <f t="shared" si="37"/>
        <v>0</v>
      </c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x14ac:dyDescent="0.2">
      <c r="A180" s="15"/>
      <c r="B180" s="18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ht="15.75" x14ac:dyDescent="0.25">
      <c r="A181" s="155" t="s">
        <v>120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42">
        <f>SUM(X149:X178)</f>
        <v>0</v>
      </c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x14ac:dyDescent="0.2">
      <c r="A182" s="15"/>
      <c r="B182" s="18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ht="15.75" thickBot="1" x14ac:dyDescent="0.25">
      <c r="A183" s="15"/>
      <c r="B183" s="18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1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ht="16.5" thickTop="1" x14ac:dyDescent="0.25">
      <c r="A184" s="155" t="str">
        <f>IF(C18="ohne MwSt.","Gesamtpreis netto:","Gesmtpreis inkl. MwSt.:")</f>
        <v>Gesmtpreis inkl. MwSt.:</v>
      </c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11">
        <f>X181+X140+Y97</f>
        <v>1459.4</v>
      </c>
      <c r="Y184" s="12">
        <f>IF(C18="ohne MwSt.",X184,X184-X185)</f>
        <v>1226.3865546218487</v>
      </c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ht="15.75" x14ac:dyDescent="0.25">
      <c r="A185" s="155" t="str">
        <f>IF(C18="ohne MwSt.","19% MwSt:","darin enthalten 19% MwSt.:")</f>
        <v>darin enthalten 19% MwSt.:</v>
      </c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42">
        <f>IF(C18="ohne MwSt.",X184*0.19,X184/1.19*0.19)</f>
        <v>233.01344537815132</v>
      </c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ht="15.75" x14ac:dyDescent="0.25">
      <c r="A186" s="155" t="str">
        <f>IF(C18="ohne MwSt.","Gesamtpreis brutto:","")</f>
        <v/>
      </c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11" t="str">
        <f>IF(C18="ohne MwSt.",X185+X184,"")</f>
        <v/>
      </c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x14ac:dyDescent="0.2">
      <c r="A187" s="15"/>
      <c r="B187" s="1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x14ac:dyDescent="0.2">
      <c r="A188" s="15"/>
      <c r="B188" s="18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x14ac:dyDescent="0.2">
      <c r="A189" s="15"/>
      <c r="B189" s="18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x14ac:dyDescent="0.2">
      <c r="A190" s="15"/>
      <c r="B190" s="18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x14ac:dyDescent="0.2">
      <c r="A191" s="15"/>
      <c r="B191" s="18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x14ac:dyDescent="0.2">
      <c r="A192" s="15"/>
      <c r="B192" s="18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x14ac:dyDescent="0.2">
      <c r="A193" s="15"/>
      <c r="B193" s="18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</sheetData>
  <sheetProtection password="D44F" sheet="1" objects="1" scenarios="1" selectLockedCells="1"/>
  <mergeCells count="41">
    <mergeCell ref="N145:X145"/>
    <mergeCell ref="B99:C99"/>
    <mergeCell ref="L102:T102"/>
    <mergeCell ref="A140:W140"/>
    <mergeCell ref="A186:W186"/>
    <mergeCell ref="A146:X146"/>
    <mergeCell ref="B149:B150"/>
    <mergeCell ref="A181:W181"/>
    <mergeCell ref="A184:W184"/>
    <mergeCell ref="A185:W185"/>
    <mergeCell ref="A15:B15"/>
    <mergeCell ref="C18:I18"/>
    <mergeCell ref="N24:X24"/>
    <mergeCell ref="A97:X97"/>
    <mergeCell ref="N98:X98"/>
    <mergeCell ref="A16:B16"/>
    <mergeCell ref="O15:V15"/>
    <mergeCell ref="O16:V16"/>
    <mergeCell ref="A18:B18"/>
    <mergeCell ref="C15:N15"/>
    <mergeCell ref="C16:N16"/>
    <mergeCell ref="C8:N8"/>
    <mergeCell ref="A9:B9"/>
    <mergeCell ref="O8:V8"/>
    <mergeCell ref="O9:V9"/>
    <mergeCell ref="C9:N9"/>
    <mergeCell ref="A10:B10"/>
    <mergeCell ref="A11:B11"/>
    <mergeCell ref="O10:V10"/>
    <mergeCell ref="O11:V11"/>
    <mergeCell ref="C10:N10"/>
    <mergeCell ref="C11:N11"/>
    <mergeCell ref="A14:B14"/>
    <mergeCell ref="A12:B12"/>
    <mergeCell ref="O12:V12"/>
    <mergeCell ref="O13:V13"/>
    <mergeCell ref="O14:V14"/>
    <mergeCell ref="A13:B13"/>
    <mergeCell ref="C14:N14"/>
    <mergeCell ref="C12:N12"/>
    <mergeCell ref="C13:N13"/>
  </mergeCells>
  <conditionalFormatting sqref="N145:X145 N24:X24 N98:X98">
    <cfRule type="expression" dxfId="0" priority="1" stopIfTrue="1">
      <formula>$Y$184&lt;2000</formula>
    </cfRule>
  </conditionalFormatting>
  <dataValidations count="24">
    <dataValidation type="list" allowBlank="1" showInputMessage="1" showErrorMessage="1" sqref="C169">
      <formula1>"4-Panel, Streifen"</formula1>
    </dataValidation>
    <dataValidation type="list" operator="greaterThan" allowBlank="1" showInputMessage="1" showErrorMessage="1" sqref="B169:B170">
      <formula1>"1,2,3,4,5"</formula1>
    </dataValidation>
    <dataValidation type="list" allowBlank="1" showInputMessage="1" showErrorMessage="1" sqref="B89:B90 B113:B114 B95:B96 B106:B111">
      <formula1>$AC$35:$AC$36</formula1>
    </dataValidation>
    <dataValidation type="list" allowBlank="1" showInputMessage="1" showErrorMessage="1" sqref="B38 B67 B40 B34:B36 B46:B48 B50:B52 B70:B71 B61:B63 B65 B42:B44 B54:B56 B74:B77">
      <formula1>$AC$39:$AC$40</formula1>
    </dataValidation>
    <dataValidation type="list" allowBlank="1" showInputMessage="1" showErrorMessage="1" sqref="C92:C93 C116:C121 C128:C130 C113:C114 C124:C126 C89:C90 C133:C136 C95:C96">
      <formula1>$AC$49:$AC$61</formula1>
    </dataValidation>
    <dataValidation type="list" allowBlank="1" showInputMessage="1" showErrorMessage="1" sqref="D34:D36 D42:D44 D67 D65 D61:D63 D74:D79 D46:D48 D54:D56 D50:D52 D38 D40">
      <formula1>$AC$69:$AC$70</formula1>
    </dataValidation>
    <dataValidation type="whole" operator="greaterThan" allowBlank="1" showInputMessage="1" showErrorMessage="1" errorTitle="Falsche Eingabe" error="Bitte nur ganze positive Zahlen eingeben!_x000a_" sqref="J115:V115 K80:V84 J68:Q69 L85:V85 J64:V64 R68:V68 J91:V91 J127:V127 K122:Q122 J112:V112 J72:V72 J82:J84 J34:K56 L34:V57 N78:S78 N62:S62 N95:S95 N109:S109 N119:S119 N117:S117 J66:V66">
      <formula1>0</formula1>
    </dataValidation>
    <dataValidation type="list" allowBlank="1" showInputMessage="1" showErrorMessage="1" sqref="C74">
      <formula1>$AC$45:$AC$46</formula1>
    </dataValidation>
    <dataValidation type="list" allowBlank="1" showInputMessage="1" showErrorMessage="1" sqref="B99 D128:D130 D116:D121 D106:D111 D138 D124:D126 D133:D136 D113:D114 D89:D90">
      <formula1>$AC$64:$AC$65</formula1>
    </dataValidation>
    <dataValidation type="list" allowBlank="1" showInputMessage="1" showErrorMessage="1" sqref="C102:D102">
      <formula1>$AC$60:$AC$61</formula1>
    </dataValidation>
    <dataValidation type="list" allowBlank="1" showInputMessage="1" showErrorMessage="1" sqref="C138">
      <formula1>$AC$49</formula1>
    </dataValidation>
    <dataValidation type="list" allowBlank="1" showInputMessage="1" showErrorMessage="1" sqref="C52 C56">
      <formula1>$AC$43:$AC$46</formula1>
    </dataValidation>
    <dataValidation type="list" allowBlank="1" showInputMessage="1" showErrorMessage="1" sqref="D92:D93">
      <formula1>$AC$77:$AC$78</formula1>
    </dataValidation>
    <dataValidation type="list" allowBlank="1" showInputMessage="1" showErrorMessage="1" sqref="C76:C79">
      <formula1>"durchgehend"</formula1>
    </dataValidation>
    <dataValidation type="list" allowBlank="1" showInputMessage="1" showErrorMessage="1" sqref="C29:D29">
      <formula1>$A$20:$A$21</formula1>
    </dataValidation>
    <dataValidation type="list" allowBlank="1" showInputMessage="1" showErrorMessage="1" sqref="Y100 D91">
      <formula1>$A$13:$A$21</formula1>
    </dataValidation>
    <dataValidation type="list" allowBlank="1" showInputMessage="1" showErrorMessage="1" sqref="C18:J18">
      <formula1>"ohne MwSt.,inkl. 19 % MwSt."</formula1>
    </dataValidation>
    <dataValidation type="list" allowBlank="1" showInputMessage="1" showErrorMessage="1" sqref="E24:H25">
      <formula1>"3/4 Reißverschluss, langem YKK Reißverschluss, 3/4 Reißverschluss versteckt,"</formula1>
    </dataValidation>
    <dataValidation type="list" operator="greaterThan" allowBlank="1" showInputMessage="1" showErrorMessage="1" errorTitle="Mindestens eine Farbe" error="Sie müssen mindestens eine Farbe eingeben." sqref="C178:D179 C153:D153 C156:D156 C159:D159 C162:D162">
      <formula1>"1,2,3,4,5,6,7,8,9"</formula1>
    </dataValidation>
    <dataValidation type="list" allowBlank="1" showInputMessage="1" showErrorMessage="1" sqref="B116:B121">
      <formula1>$AC$37:$AC$38</formula1>
    </dataValidation>
    <dataValidation type="list" allowBlank="1" showInputMessage="1" showErrorMessage="1" sqref="C107:C111">
      <formula1>$AC$50:$AC$62</formula1>
    </dataValidation>
    <dataValidation type="list" allowBlank="1" showInputMessage="1" showErrorMessage="1" sqref="B124:B126 B128:B130">
      <formula1>$AC$34:$AC$35</formula1>
    </dataValidation>
    <dataValidation type="list" allowBlank="1" showInputMessage="1" showErrorMessage="1" sqref="C106">
      <formula1>$AC$50:$AC$63</formula1>
    </dataValidation>
    <dataValidation type="list" allowBlank="1" showInputMessage="1" showErrorMessage="1" sqref="B149:B150">
      <formula1>"Coolmax®, Meryl®"</formula1>
    </dataValidation>
  </dataValidations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cp:lastPrinted>2018-09-11T08:10:09Z</cp:lastPrinted>
  <dcterms:created xsi:type="dcterms:W3CDTF">2016-07-29T08:38:09Z</dcterms:created>
  <dcterms:modified xsi:type="dcterms:W3CDTF">2019-05-16T13:20:20Z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NoCounter">
    <vt:lpwstr>2403</vt:lpwstr>
  </property>
</Properties>
</file>